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Regulierung\Musterverträge\Lieferantenrahmenvertrag Gas KOV13 ab 2022-10\final\"/>
    </mc:Choice>
  </mc:AlternateContent>
  <bookViews>
    <workbookView xWindow="0" yWindow="0" windowWidth="30720" windowHeight="13248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7" l="1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Q16" i="7" s="1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Q17" i="7" l="1"/>
  <c r="Q12" i="7"/>
  <c r="Q14" i="7"/>
  <c r="Q18" i="7"/>
  <c r="Q22" i="7"/>
  <c r="Q20" i="7"/>
  <c r="Q24" i="7"/>
  <c r="Q13" i="7"/>
  <c r="Q15" i="7"/>
  <c r="Q19" i="7"/>
  <c r="Q21" i="7"/>
  <c r="Q23" i="7"/>
  <c r="Q25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0" i="7"/>
  <c r="C28" i="7"/>
  <c r="C20" i="7"/>
  <c r="C14" i="7"/>
  <c r="C12" i="7"/>
  <c r="C19" i="7"/>
  <c r="C30" i="7"/>
  <c r="C31" i="7"/>
  <c r="C16" i="7"/>
  <c r="C25" i="7"/>
  <c r="C27" i="7"/>
  <c r="C33" i="7"/>
  <c r="C15" i="7"/>
  <c r="C38" i="7"/>
  <c r="C35" i="7"/>
  <c r="C17" i="7"/>
  <c r="C32" i="7"/>
  <c r="C22" i="7"/>
  <c r="C37" i="7"/>
  <c r="C26" i="7"/>
  <c r="C29" i="7"/>
  <c r="C13" i="7"/>
  <c r="C23" i="7"/>
  <c r="C18" i="7"/>
  <c r="C34" i="7"/>
  <c r="C21" i="7"/>
  <c r="C39" i="7"/>
  <c r="C24" i="7"/>
  <c r="C3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<sst xmlns="http://schemas.openxmlformats.org/spreadsheetml/2006/main" count="1397" uniqueCount="677">
  <si>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</si>
  <si>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</si>
  <si>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</si>
  <si>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</si>
  <si>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</si>
  <si>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</si>
  <si>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</si>
  <si>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</si>
  <si>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</si>
  <si>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</si>
  <si>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</si>
  <si>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</si>
  <si>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</si>
  <si>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</si>
  <si>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</si>
  <si>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</si>
  <si>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</si>
  <si>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</si>
  <si>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</si>
  <si>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</si>
  <si>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</si>
  <si>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</si>
  <si>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</si>
  <si>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</si>
  <si>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</si>
  <si>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</si>
  <si>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</si>
  <si>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</si>
  <si>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</si>
  <si>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</si>
  <si>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</si>
  <si>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</si>
  <si>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</si>
  <si>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</si>
  <si>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</si>
  <si>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</si>
  <si>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</si>
  <si>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</si>
  <si>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</si>
  <si>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</si>
  <si>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</si>
  <si>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</si>
  <si>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</si>
  <si>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</si>
  <si>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</si>
  <si>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</si>
  <si>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</si>
  <si>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</si>
  <si>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</si>
  <si>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</si>
  <si>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</si>
  <si>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</si>
  <si>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</si>
  <si>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</si>
  <si>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</si>
  <si>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</si>
  <si>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</si>
  <si>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</si>
  <si>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</si>
  <si>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</si>
  <si>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</si>
  <si>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</si>
  <si>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</si>
  <si>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</si>
  <si>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</si>
  <si>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</si>
  <si>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</si>
  <si>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</si>
  <si>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</si>
  <si>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</si>
  <si>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</si>
  <si>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</si>
  <si>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</si>
  <si>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</si>
  <si>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</si>
  <si>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</si>
  <si>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</si>
  <si>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</si>
  <si>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</si>
  <si>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</si>
  <si>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</si>
  <si>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</si>
  <si>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</si>
  <si>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</si>
  <si>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</si>
  <si>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</si>
  <si>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</si>
  <si>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</si>
  <si>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</si>
  <si>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</si>
  <si>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</si>
  <si>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</si>
  <si>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</si>
  <si>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</si>
  <si>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</si>
  <si>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</si>
  <si>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</si>
  <si>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</si>
  <si>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</si>
  <si>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</si>
  <si>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</si>
  <si>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</si>
  <si>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</si>
  <si>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</si>
  <si>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</si>
  <si>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</si>
  <si>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</si>
  <si>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</si>
  <si>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</si>
  <si>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</si>
  <si>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</si>
  <si>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</si>
  <si>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</si>
  <si>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</si>
  <si>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</si>
  <si>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</si>
  <si>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</si>
  <si>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</si>
  <si>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</si>
  <si>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</si>
  <si>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</si>
  <si>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</si>
  <si>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</si>
  <si>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</si>
  <si>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</si>
  <si>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</si>
  <si>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</si>
  <si>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</si>
  <si>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</si>
  <si>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</si>
  <si>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</si>
  <si>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</si>
  <si>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</si>
  <si>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</si>
  <si>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</si>
  <si>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</si>
  <si>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</si>
  <si>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</si>
  <si>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</si>
  <si>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</si>
  <si>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</si>
  <si>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</si>
  <si>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</si>
  <si>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</si>
  <si>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</si>
  <si>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</si>
  <si>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</si>
  <si>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</si>
  <si>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</si>
  <si>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</si>
  <si>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</si>
  <si>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</si>
  <si>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</si>
  <si>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</si>
  <si>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</si>
  <si>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</si>
  <si>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</si>
  <si>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</si>
  <si>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</si>
  <si>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</si>
  <si>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</si>
  <si>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</si>
  <si>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</si>
  <si>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</si>
  <si>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</si>
  <si>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</si>
  <si>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</si>
  <si>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</si>
  <si>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</si>
  <si>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</si>
  <si>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</si>
  <si>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</si>
  <si>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</si>
  <si>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</si>
  <si>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</si>
  <si>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</si>
  <si>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</si>
  <si>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</si>
  <si>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</si>
  <si>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</si>
  <si>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</si>
  <si>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</si>
  <si>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</si>
  <si>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</si>
  <si>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</si>
  <si>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</si>
  <si>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</si>
  <si>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</si>
  <si>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</si>
  <si>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</si>
  <si>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</si>
  <si>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</si>
  <si>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</si>
  <si>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</si>
  <si>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</si>
  <si>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</si>
  <si>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</si>
  <si>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</si>
  <si>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</si>
  <si>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</si>
  <si>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</si>
  <si>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</si>
  <si>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</si>
  <si>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</si>
  <si>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</si>
  <si>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</si>
  <si>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</si>
  <si>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</si>
  <si>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</si>
  <si>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</si>
  <si>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</si>
  <si>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</si>
  <si>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</si>
  <si>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</si>
  <si>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</si>
  <si>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</si>
  <si>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</si>
  <si>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</si>
  <si>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</si>
  <si>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</si>
  <si>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</si>
  <si>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</si>
  <si>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</si>
  <si>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</si>
  <si>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</si>
  <si>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</si>
  <si>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</si>
  <si>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</si>
  <si>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</si>
  <si>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</si>
  <si>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</si>
  <si>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</si>
  <si>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</si>
  <si>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</si>
  <si>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</si>
  <si>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</si>
  <si>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</si>
  <si>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</si>
  <si>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</si>
  <si>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</si>
  <si>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</si>
  <si>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</si>
  <si>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</si>
  <si>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</si>
  <si>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</si>
  <si>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</si>
  <si>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</si>
  <si>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</si>
  <si>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</si>
  <si>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</si>
  <si>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</si>
  <si>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</si>
  <si>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</si>
  <si>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</si>
  <si>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</si>
  <si>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</si>
  <si>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</si>
  <si>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</si>
  <si>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</si>
  <si>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</si>
  <si>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</si>
  <si>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</si>
  <si>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</si>
  <si>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</si>
  <si>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</si>
  <si>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</si>
  <si>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</si>
  <si>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</si>
  <si>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</si>
  <si>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</si>
  <si>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</si>
  <si>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</si>
  <si>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</si>
  <si>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</si>
  <si>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</si>
  <si>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</si>
  <si>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</si>
  <si>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</si>
  <si>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</si>
  <si>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</si>
  <si>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</si>
  <si>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</si>
  <si>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</si>
  <si>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</si>
  <si>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</si>
  <si>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</si>
  <si>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</si>
  <si>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</si>
  <si>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</si>
  <si>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</si>
  <si>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</si>
  <si>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</si>
  <si>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</si>
  <si>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</si>
  <si>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</si>
  <si>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</si>
  <si>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</si>
  <si>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</si>
  <si>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</si>
  <si>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</si>
  <si>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</si>
  <si>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</si>
  <si>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</si>
  <si>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</si>
  <si>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</si>
  <si>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</si>
  <si>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</si>
  <si>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</si>
  <si>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</si>
  <si>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</si>
  <si>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</si>
  <si>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</si>
  <si>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</si>
  <si>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</si>
  <si>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</si>
  <si>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</si>
  <si>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</si>
  <si>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</si>
  <si>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</si>
  <si>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</si>
  <si>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</si>
  <si>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</si>
  <si>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</si>
  <si>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</si>
  <si>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</si>
  <si>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</si>
  <si>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</si>
  <si>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</si>
  <si>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</si>
  <si>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</si>
  <si>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</si>
  <si>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</si>
  <si>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</si>
  <si>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</si>
  <si>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</si>
  <si>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</si>
  <si>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</si>
  <si>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</si>
  <si>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</si>
  <si>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</si>
  <si>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</si>
  <si>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</si>
  <si>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</si>
  <si>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</si>
  <si>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</si>
  <si>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</si>
  <si>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</si>
  <si>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</si>
  <si>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</si>
  <si>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</si>
  <si>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</si>
  <si>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</si>
  <si>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</si>
  <si>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</si>
  <si>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</si>
  <si>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</si>
  <si>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</si>
  <si>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</si>
  <si>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</si>
  <si>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</si>
  <si>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</si>
  <si>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</si>
  <si>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</si>
  <si>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</si>
  <si>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</si>
  <si>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</si>
  <si>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</si>
  <si>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</si>
  <si>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</si>
  <si>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</si>
  <si>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</si>
  <si>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</si>
  <si>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</si>
  <si>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</si>
  <si>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</si>
  <si>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</si>
  <si>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</si>
  <si>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</si>
  <si>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</si>
  <si>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</si>
  <si>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</si>
  <si>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</si>
  <si>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</si>
  <si>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</si>
  <si>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</si>
  <si>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</si>
  <si>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</si>
  <si>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</si>
  <si>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</si>
  <si>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</si>
  <si>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</si>
  <si>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</si>
  <si>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</si>
  <si>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</si>
  <si>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</si>
  <si>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</si>
  <si>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</si>
  <si>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</si>
  <si>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</si>
  <si>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</si>
  <si>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</si>
  <si>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</si>
  <si>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</si>
  <si>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</si>
  <si>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</si>
  <si>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</si>
  <si>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</si>
  <si>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</si>
  <si>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</si>
  <si>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</si>
  <si>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</si>
  <si>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</si>
  <si>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</si>
  <si>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</si>
  <si>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</si>
  <si>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</si>
  <si>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</si>
  <si>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</si>
  <si>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</si>
  <si>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</si>
  <si>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</si>
  <si>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</si>
  <si>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</si>
  <si>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</si>
  <si>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</si>
  <si>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</si>
  <si>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</si>
  <si>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</si>
  <si>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</si>
  <si>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</si>
  <si>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</si>
  <si>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</si>
  <si>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</si>
  <si>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</si>
  <si>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</si>
  <si>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</si>
  <si>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</si>
  <si>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</si>
  <si>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</si>
  <si>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</si>
  <si>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</si>
  <si>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</si>
  <si>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</si>
  <si>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</si>
  <si>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</si>
  <si>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</si>
  <si>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</si>
  <si>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</si>
  <si>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</si>
  <si>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</si>
  <si>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</si>
  <si>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</si>
  <si>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</si>
  <si>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</si>
  <si>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</si>
  <si>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</si>
  <si>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</si>
  <si>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</si>
  <si>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</si>
  <si>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</si>
  <si>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</si>
  <si>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</si>
  <si>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</si>
  <si>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</si>
  <si>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</si>
  <si>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</si>
  <si>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</si>
  <si>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</si>
  <si>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</si>
  <si>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</si>
  <si>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</si>
  <si>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</si>
  <si>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</si>
  <si>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</si>
  <si>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</si>
  <si>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</si>
  <si>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</si>
  <si>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</si>
  <si>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</si>
  <si>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</si>
  <si>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</si>
  <si>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</si>
  <si>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</si>
  <si>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</si>
  <si>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</si>
  <si>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</si>
  <si>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</si>
  <si>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</si>
  <si>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</si>
  <si>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</si>
  <si>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</si>
  <si>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</si>
  <si>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</si>
  <si>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</si>
  <si>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</si>
  <si>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</si>
  <si>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</si>
  <si>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</si>
  <si>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</si>
  <si>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</si>
  <si>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</si>
  <si>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</si>
  <si>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</si>
  <si>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</si>
  <si>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</si>
  <si>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</si>
  <si>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</si>
  <si>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</si>
  <si>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</si>
  <si>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</si>
  <si>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</si>
  <si>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</si>
  <si>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</si>
  <si>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</si>
  <si>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</si>
  <si>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</si>
  <si>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</si>
  <si>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</si>
  <si>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</si>
  <si>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</si>
  <si>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</si>
  <si>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</si>
  <si>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</si>
  <si>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</si>
  <si>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</si>
  <si>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</si>
  <si>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</si>
  <si>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</si>
  <si>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</si>
  <si>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</si>
  <si>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</si>
  <si>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</si>
  <si>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</si>
  <si>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</si>
  <si>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</si>
  <si>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</si>
  <si>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</si>
  <si>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</si>
  <si>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</si>
  <si>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</si>
  <si>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</si>
  <si>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</si>
  <si>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</si>
  <si>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</si>
  <si>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</si>
  <si>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</si>
  <si>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</si>
  <si>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</si>
  <si>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</si>
  <si>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</si>
  <si>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</si>
  <si>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</si>
  <si>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</si>
  <si>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</si>
  <si>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</si>
  <si>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</si>
  <si>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</si>
  <si>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</si>
  <si>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</si>
  <si>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</si>
  <si>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</si>
  <si>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</si>
  <si>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</si>
  <si>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</si>
  <si>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</si>
  <si>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</si>
  <si>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</si>
  <si>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</si>
  <si>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</si>
  <si>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</si>
  <si>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</si>
  <si>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</si>
  <si>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</si>
  <si>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</si>
  <si>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</si>
  <si>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</si>
  <si>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</si>
  <si>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</si>
  <si>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</si>
  <si>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</si>
  <si>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</si>
  <si>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</si>
  <si>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</si>
  <si>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</si>
  <si>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</si>
  <si>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</si>
  <si>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</si>
  <si>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</si>
  <si>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</si>
  <si>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</si>
  <si>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</si>
  <si>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</si>
  <si>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</si>
  <si>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</si>
  <si>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</si>
  <si>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</si>
  <si>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</si>
  <si>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</si>
  <si>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</si>
  <si>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</si>
  <si>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</si>
  <si>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</si>
  <si>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</si>
  <si>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</si>
  <si>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</si>
  <si>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</si>
  <si>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</si>
  <si>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</si>
  <si>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</si>
  <si>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</si>
  <si>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</si>
  <si>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</si>
  <si>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</si>
  <si>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</si>
  <si>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</si>
  <si>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</si>
  <si>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</si>
  <si>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</si>
  <si>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</si>
  <si>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</si>
  <si>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</si>
  <si>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</si>
  <si>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</si>
  <si>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</si>
  <si>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</si>
  <si>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</si>
  <si>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</si>
  <si>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</si>
  <si>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</si>
  <si>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</si>
  <si>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</si>
  <si>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</si>
  <si>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</si>
  <si>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</si>
  <si>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</si>
  <si>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</si>
  <si>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</si>
  <si>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</si>
  <si>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</si>
  <si>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</si>
  <si>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</si>
  <si>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</si>
  <si>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</si>
  <si>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</si>
  <si>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</si>
  <si>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</si>
  <si>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</si>
  <si>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</si>
  <si>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</si>
  <si>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</si>
  <si>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</si>
  <si>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</si>
  <si>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</si>
  <si>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</si>
  <si>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</si>
  <si>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</si>
  <si>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</si>
  <si>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EnergieSüdwest Netz GmbH</t>
  </si>
  <si>
    <t>9870019100005</t>
  </si>
  <si>
    <t>Industriestraße 18</t>
  </si>
  <si>
    <t>Landau in der Pfalz</t>
  </si>
  <si>
    <t>Christian Abel</t>
  </si>
  <si>
    <t>c.abel@energie-suedpfalz-service.de</t>
  </si>
  <si>
    <t>06341/289-110</t>
  </si>
  <si>
    <t>Landau</t>
  </si>
  <si>
    <t>THE0NKH700191000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</si>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</sst>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6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Auswertungen_Projekte\Auswertungen\SLP%20Gas_verfahrensspezifische%20Parameter\2018_Excel-Tabelle_Verfahrensspezifische%20SLP-Param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C30" sqref="C30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76829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Landau</v>
      </c>
      <c r="E28" s="38"/>
      <c r="F28" s="11"/>
      <c r="G28" s="2"/>
    </row>
    <row r="29" spans="1:15">
      <c r="B29" s="15"/>
      <c r="C29" s="22" t="s">
        <v>393</v>
      </c>
      <c r="D29" s="45" t="s">
        <v>664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75" priority="2">
      <formula>IF(CELL("Zeile",D29)&lt;$D$25+CELL("Zeile",$D$29),1,0)</formula>
    </cfRule>
  </conditionalFormatting>
  <conditionalFormatting sqref="D30:D48">
    <cfRule type="expression" dxfId="7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D11" sqref="D11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EnergieSüdwest Netz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Landau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9870019100005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665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14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664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73" priority="20">
      <formula>IF(#REF!="Gaspool",1,0)</formula>
    </cfRule>
  </conditionalFormatting>
  <conditionalFormatting sqref="D45:D59">
    <cfRule type="expression" dxfId="72" priority="16">
      <formula>IF(CELL("Zeile",D45)&lt;$D$43+CELL("Zeile",$D$45),1,0)</formula>
    </cfRule>
  </conditionalFormatting>
  <conditionalFormatting sqref="D46:D59">
    <cfRule type="expression" dxfId="71" priority="15">
      <formula>IF(CELL(D46)&lt;$D$33+27,1,0)</formula>
    </cfRule>
  </conditionalFormatting>
  <conditionalFormatting sqref="D20">
    <cfRule type="expression" dxfId="70" priority="14">
      <formula>IF($D$19=$H$19,1,0)</formula>
    </cfRule>
  </conditionalFormatting>
  <conditionalFormatting sqref="D28">
    <cfRule type="expression" dxfId="69" priority="3">
      <formula>IF($D$15="synthetisch",1,0)</formula>
    </cfRule>
  </conditionalFormatting>
  <conditionalFormatting sqref="D25">
    <cfRule type="expression" dxfId="68" priority="1">
      <formula>IF(AND($D$24=$I$24,$D$23=$H$23),1,0)</formula>
    </cfRule>
  </conditionalFormatting>
  <conditionalFormatting sqref="D23:D25">
    <cfRule type="expression" dxfId="67" priority="4">
      <formula>IF($D$15="analytisch",1,0)</formula>
    </cfRule>
  </conditionalFormatting>
  <conditionalFormatting sqref="D24">
    <cfRule type="expression" dxfId="66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40" zoomScaleNormal="100" workbookViewId="0">
      <selection activeCell="F9" sqref="F9"/>
    </sheetView>
  </sheetViews>
  <sheetFormatPr baseColWidth="10" defaultColWidth="0" defaultRowHeight="14.4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5" width="22" style="129" customWidth="1"/>
    <col min="6" max="14" width="12.6640625" style="129" customWidth="1"/>
    <col min="15" max="15" width="34.109375" style="129" customWidth="1"/>
    <col min="16" max="16" width="7.33203125" style="171" hidden="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4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Landau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299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6" t="str">
        <f>INDEX('SLP-Verfahren'!D45:D59,'SLP-Temp-Gebiet #01'!F10)</f>
        <v>Landau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4" t="s">
        <v>584</v>
      </c>
      <c r="D13" s="354"/>
      <c r="E13" s="354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445</v>
      </c>
      <c r="D14" s="355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5" t="s">
        <v>385</v>
      </c>
      <c r="D15" s="355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664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9732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512</v>
      </c>
      <c r="F35" s="157" t="s">
        <v>512</v>
      </c>
      <c r="G35" s="157" t="s">
        <v>512</v>
      </c>
      <c r="H35" s="157" t="s">
        <v>512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5.6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9"/>
      <c r="L48" s="199"/>
      <c r="M48" s="199"/>
      <c r="N48" s="199"/>
      <c r="O48" s="200"/>
    </row>
    <row r="49" spans="2:28" ht="1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Landau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9732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Kalendertag</v>
      </c>
      <c r="F69" s="160" t="str">
        <f t="shared" ref="F69:N69" si="15">F35</f>
        <v>Kalendertag</v>
      </c>
      <c r="G69" s="160" t="str">
        <f t="shared" si="15"/>
        <v>Kalendertag</v>
      </c>
      <c r="H69" s="160" t="str">
        <f t="shared" si="15"/>
        <v>Kalendertag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6" t="s">
        <v>580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65" priority="28">
      <formula>IF(E$20&lt;=$F$18,1,0)</formula>
    </cfRule>
  </conditionalFormatting>
  <conditionalFormatting sqref="E33:N37">
    <cfRule type="expression" dxfId="64" priority="27">
      <formula>IF(E$31&lt;=$F$29,1,0)</formula>
    </cfRule>
  </conditionalFormatting>
  <conditionalFormatting sqref="E26:N26">
    <cfRule type="expression" dxfId="63" priority="26">
      <formula>IF(E$20&lt;=$F$18,1,0)</formula>
    </cfRule>
  </conditionalFormatting>
  <conditionalFormatting sqref="E26:N26">
    <cfRule type="expression" dxfId="62" priority="25">
      <formula>IF(E$20&lt;=$F$18,1,0)</formula>
    </cfRule>
  </conditionalFormatting>
  <conditionalFormatting sqref="E57:N60">
    <cfRule type="expression" dxfId="61" priority="22">
      <formula>IF(E$55&lt;=$F$53,1,0)</formula>
    </cfRule>
  </conditionalFormatting>
  <conditionalFormatting sqref="E61:N61">
    <cfRule type="expression" dxfId="60" priority="21">
      <formula>IF(E$55&lt;=$F$53,1,0)</formula>
    </cfRule>
  </conditionalFormatting>
  <conditionalFormatting sqref="E67:N69">
    <cfRule type="expression" dxfId="59" priority="15">
      <formula>IF(E$65&lt;=$F$63,1,0)</formula>
    </cfRule>
  </conditionalFormatting>
  <conditionalFormatting sqref="E66:N69 E71:N71">
    <cfRule type="expression" dxfId="58" priority="13">
      <formula>IF(E$65&gt;$F$63,1,0)</formula>
    </cfRule>
  </conditionalFormatting>
  <conditionalFormatting sqref="E57:N61">
    <cfRule type="expression" dxfId="57" priority="12">
      <formula>IF(E$55&gt;$F$53,1,0)</formula>
    </cfRule>
  </conditionalFormatting>
  <conditionalFormatting sqref="E21:N26">
    <cfRule type="expression" dxfId="56" priority="11">
      <formula>IF(E$20&gt;$F$18,1,0)</formula>
    </cfRule>
  </conditionalFormatting>
  <conditionalFormatting sqref="E33:N37">
    <cfRule type="expression" dxfId="55" priority="10">
      <formula>IF(E$31&gt;$F$29,1,0)</formula>
    </cfRule>
  </conditionalFormatting>
  <conditionalFormatting sqref="H11 H8:H9">
    <cfRule type="expression" dxfId="54" priority="9">
      <formula>IF($F$9=1,1,0)</formula>
    </cfRule>
  </conditionalFormatting>
  <conditionalFormatting sqref="E56:N56">
    <cfRule type="expression" dxfId="53" priority="8">
      <formula>IF(E$55&gt;$F$53,1,0)</formula>
    </cfRule>
  </conditionalFormatting>
  <conditionalFormatting sqref="E32:N32">
    <cfRule type="expression" dxfId="52" priority="7">
      <formula>IF(E$31&gt;$F$29,1,0)</formula>
    </cfRule>
  </conditionalFormatting>
  <conditionalFormatting sqref="E71:N71">
    <cfRule type="expression" dxfId="51" priority="6">
      <formula>IF(E$65&lt;=$F$63,1,0)</formula>
    </cfRule>
  </conditionalFormatting>
  <conditionalFormatting sqref="H10">
    <cfRule type="expression" dxfId="50" priority="5">
      <formula>IF($F$9=1,1,0)</formula>
    </cfRule>
  </conditionalFormatting>
  <conditionalFormatting sqref="E70:N70">
    <cfRule type="expression" dxfId="49" priority="2">
      <formula>IF(E$65&lt;=$F$63,1,0)</formula>
    </cfRule>
  </conditionalFormatting>
  <conditionalFormatting sqref="E70:N70">
    <cfRule type="expression" dxfId="48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4 E70:N70 I35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544</v>
      </c>
    </row>
    <row r="3" spans="1:56" ht="15" customHeight="1">
      <c r="B3" s="172"/>
    </row>
    <row r="4" spans="1:56" ht="14.4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 ht="14.4">
      <c r="B5" s="131"/>
      <c r="C5" s="56" t="s">
        <v>441</v>
      </c>
      <c r="D5" s="57"/>
      <c r="E5" s="58" t="str">
        <f>Netzbetreiber!D28</f>
        <v>Landau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585</v>
      </c>
      <c r="D10" s="131"/>
      <c r="E10" s="131"/>
      <c r="F10" s="299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603</v>
      </c>
      <c r="D11" s="131"/>
      <c r="E11" s="131"/>
      <c r="F11" s="296">
        <f>INDEX('SLP-Verfahren'!D45:D59,'SLP-Temp-Gebiet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54" t="s">
        <v>584</v>
      </c>
      <c r="D13" s="354"/>
      <c r="E13" s="354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445</v>
      </c>
      <c r="D14" s="355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5" t="s">
        <v>385</v>
      </c>
      <c r="D15" s="355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525</v>
      </c>
      <c r="D21" s="154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537</v>
      </c>
      <c r="D22" s="187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526</v>
      </c>
      <c r="D31" s="187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 ht="14.4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536</v>
      </c>
      <c r="D46" s="202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9"/>
      <c r="L46" s="199"/>
      <c r="M46" s="199"/>
      <c r="N46" s="199"/>
      <c r="O46" s="200"/>
    </row>
    <row r="47" spans="2:28" ht="14.4">
      <c r="B47" s="194"/>
      <c r="C47" s="201" t="s">
        <v>346</v>
      </c>
      <c r="D47" s="202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525</v>
      </c>
      <c r="D55" s="154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537</v>
      </c>
      <c r="D56" s="187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4">
      <c r="B65" s="184"/>
      <c r="C65" s="185" t="s">
        <v>526</v>
      </c>
      <c r="D65" s="187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6"/>
    </row>
    <row r="66" spans="2:15" ht="14.4">
      <c r="B66" s="184"/>
      <c r="C66" s="185" t="s">
        <v>533</v>
      </c>
      <c r="D66" s="187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6" t="s">
        <v>145</v>
      </c>
    </row>
    <row r="67" spans="2:15" ht="14.4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4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4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4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4"/>
    <row r="72" spans="2:15" ht="15.75" customHeight="1">
      <c r="C72" s="356" t="s">
        <v>580</v>
      </c>
      <c r="D72" s="356"/>
      <c r="E72" s="356"/>
      <c r="F72" s="356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47" priority="18">
      <formula>IF(E$20&lt;=$F$18,1,0)</formula>
    </cfRule>
  </conditionalFormatting>
  <conditionalFormatting sqref="E32:N36">
    <cfRule type="expression" dxfId="46" priority="17">
      <formula>IF(E$30&lt;=$F$28,1,0)</formula>
    </cfRule>
  </conditionalFormatting>
  <conditionalFormatting sqref="E26:F26">
    <cfRule type="expression" dxfId="45" priority="16">
      <formula>IF(E$20&lt;=$F$18,1,0)</formula>
    </cfRule>
  </conditionalFormatting>
  <conditionalFormatting sqref="E26:N26">
    <cfRule type="expression" dxfId="44" priority="15">
      <formula>IF(E$20&lt;=$F$18,1,0)</formula>
    </cfRule>
  </conditionalFormatting>
  <conditionalFormatting sqref="E56:N59">
    <cfRule type="expression" dxfId="43" priority="14">
      <formula>IF(E$54&lt;=$F$52,1,0)</formula>
    </cfRule>
  </conditionalFormatting>
  <conditionalFormatting sqref="E60:N60">
    <cfRule type="expression" dxfId="42" priority="13">
      <formula>IF(E$54&lt;=$F$52,1,0)</formula>
    </cfRule>
  </conditionalFormatting>
  <conditionalFormatting sqref="E66:N68">
    <cfRule type="expression" dxfId="41" priority="12">
      <formula>IF(E$64&lt;=$F$62,1,0)</formula>
    </cfRule>
  </conditionalFormatting>
  <conditionalFormatting sqref="E65:N68 E70:N70">
    <cfRule type="expression" dxfId="40" priority="11">
      <formula>IF(E$64&gt;$F$62,1,0)</formula>
    </cfRule>
  </conditionalFormatting>
  <conditionalFormatting sqref="E56:N60">
    <cfRule type="expression" dxfId="39" priority="10">
      <formula>IF(E$54&gt;$F$52,1,0)</formula>
    </cfRule>
  </conditionalFormatting>
  <conditionalFormatting sqref="E21:N26">
    <cfRule type="expression" dxfId="38" priority="9">
      <formula>IF(E$20&gt;$F$18,1,0)</formula>
    </cfRule>
  </conditionalFormatting>
  <conditionalFormatting sqref="E32:N36">
    <cfRule type="expression" dxfId="37" priority="8">
      <formula>IF(E$30&gt;$F$28,1,0)</formula>
    </cfRule>
  </conditionalFormatting>
  <conditionalFormatting sqref="H11 H8:H9">
    <cfRule type="expression" dxfId="36" priority="7">
      <formula>IF($F$9=1,1,0)</formula>
    </cfRule>
  </conditionalFormatting>
  <conditionalFormatting sqref="E55:N55">
    <cfRule type="expression" dxfId="35" priority="6">
      <formula>IF(E$54&gt;$F$52,1,0)</formula>
    </cfRule>
  </conditionalFormatting>
  <conditionalFormatting sqref="E31:N31">
    <cfRule type="expression" dxfId="34" priority="5">
      <formula>IF(E$30&gt;$F$28,1,0)</formula>
    </cfRule>
  </conditionalFormatting>
  <conditionalFormatting sqref="E70:N70">
    <cfRule type="expression" dxfId="33" priority="4">
      <formula>IF(E$64&lt;=$F$62,1,0)</formula>
    </cfRule>
  </conditionalFormatting>
  <conditionalFormatting sqref="H10">
    <cfRule type="expression" dxfId="32" priority="3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K37" sqref="K37"/>
    </sheetView>
  </sheetViews>
  <sheetFormatPr baseColWidth="10" defaultColWidth="0" defaultRowHeight="14.4" zeroHeight="1"/>
  <cols>
    <col min="1" max="1" width="2.88671875" style="129" customWidth="1"/>
    <col min="2" max="2" width="8" style="129" customWidth="1"/>
    <col min="3" max="3" width="37.44140625" style="129" customWidth="1"/>
    <col min="4" max="4" width="10.6640625" style="129" customWidth="1"/>
    <col min="5" max="6" width="11.44140625" style="129" customWidth="1"/>
    <col min="8" max="8" width="12.6640625" style="129" customWidth="1"/>
    <col min="9" max="9" width="15.44140625" style="129" customWidth="1"/>
    <col min="10" max="11" width="12.6640625" style="129" customWidth="1"/>
    <col min="12" max="12" width="11.44140625" style="129" customWidth="1"/>
    <col min="13" max="16" width="12.6640625" style="129" customWidth="1"/>
    <col min="17" max="17" width="14.109375" style="129" customWidth="1"/>
    <col min="18" max="24" width="11.44140625" style="129" customWidth="1"/>
    <col min="25" max="25" width="20.1093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EnergieSüdwest Netz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Landau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9870019100005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COUNTA(D12:D99)</f>
        <v>14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5" t="s">
        <v>648</v>
      </c>
    </row>
    <row r="11" spans="2:26" ht="15" thickBot="1">
      <c r="B11" s="140" t="s">
        <v>494</v>
      </c>
      <c r="C11" s="141" t="s">
        <v>509</v>
      </c>
      <c r="D11" s="304" t="s">
        <v>248</v>
      </c>
      <c r="E11" s="165" t="s">
        <v>516</v>
      </c>
      <c r="F11" s="306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40" si="0">$D$6</f>
        <v>Landau</v>
      </c>
      <c r="D12" s="63" t="s">
        <v>248</v>
      </c>
      <c r="E12" s="166" t="s">
        <v>39</v>
      </c>
      <c r="F12" s="307" t="str">
        <f>VLOOKUP($E12,'[1]BDEW-Standard'!$B$3:$M$158,F$9,0)</f>
        <v>P14</v>
      </c>
      <c r="G12" s="8"/>
      <c r="H12" s="279">
        <f>ROUND(VLOOKUP($E12,'[1]BDEW-Standard'!$B$3:$M$158,H$9,0),7)</f>
        <v>3.1764404000000002</v>
      </c>
      <c r="I12" s="279">
        <f>ROUND(VLOOKUP($E12,'[1]BDEW-Standard'!$B$3:$M$158,I$9,0),7)</f>
        <v>-37.410583199999998</v>
      </c>
      <c r="J12" s="279">
        <f>ROUND(VLOOKUP($E12,'[1]BDEW-Standard'!$B$3:$M$158,J$9,0),7)</f>
        <v>6.1622336000000004</v>
      </c>
      <c r="K12" s="279">
        <f>ROUND(VLOOKUP($E12,'[1]BDEW-Standard'!$B$3:$M$158,K$9,0),7)</f>
        <v>7.4154300000000006E-2</v>
      </c>
      <c r="L12" s="352">
        <f>ROUND(VLOOKUP($E12,'[1]BDEW-Standard'!$B$3:$M$158,L$9,0),1)</f>
        <v>40</v>
      </c>
      <c r="M12" s="279">
        <f>ROUND(VLOOKUP($E12,'[1]BDEW-Standard'!$B$3:$M$158,M$9,0),7)</f>
        <v>0</v>
      </c>
      <c r="N12" s="279">
        <f>ROUND(VLOOKUP($E12,'[1]BDEW-Standard'!$B$3:$M$158,N$9,0),7)</f>
        <v>0</v>
      </c>
      <c r="O12" s="279">
        <f>ROUND(VLOOKUP($E12,'[1]BDEW-Standard'!$B$3:$M$158,O$9,0),7)</f>
        <v>0</v>
      </c>
      <c r="P12" s="279">
        <f>ROUND(VLOOKUP($E12,'[1]BDEW-Standard'!$B$3:$M$158,P$9,0),7)</f>
        <v>0</v>
      </c>
      <c r="Q12" s="353">
        <f t="shared" ref="Q12:Q25" si="1">($H12/(1+($I12/($Q$9-$L12))^$J12)+$K12)+MAX($M12*$Q$9+$N12,$O12*$Q$9+$P12)</f>
        <v>0.95195693288062622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3"/>
    </row>
    <row r="13" spans="2:26" s="144" customFormat="1">
      <c r="B13" s="145">
        <v>2</v>
      </c>
      <c r="C13" s="146" t="str">
        <f t="shared" si="0"/>
        <v>Landau</v>
      </c>
      <c r="D13" s="63" t="s">
        <v>248</v>
      </c>
      <c r="E13" s="166" t="s">
        <v>47</v>
      </c>
      <c r="F13" s="307" t="str">
        <f>VLOOKUP($E13,'[1]BDEW-Standard'!$B$3:$M$158,F$9,0)</f>
        <v>P24</v>
      </c>
      <c r="H13" s="279">
        <f>ROUND(VLOOKUP($E13,'[1]BDEW-Standard'!$B$3:$M$158,H$9,0),7)</f>
        <v>2.5078170000000002</v>
      </c>
      <c r="I13" s="279">
        <f>ROUND(VLOOKUP($E13,'[1]BDEW-Standard'!$B$3:$M$158,I$9,0),7)</f>
        <v>-35.036736300000001</v>
      </c>
      <c r="J13" s="279">
        <f>ROUND(VLOOKUP($E13,'[1]BDEW-Standard'!$B$3:$M$158,J$9,0),7)</f>
        <v>6.2430158999999996</v>
      </c>
      <c r="K13" s="279">
        <f>ROUND(VLOOKUP($E13,'[1]BDEW-Standard'!$B$3:$M$158,K$9,0),7)</f>
        <v>0.1001118</v>
      </c>
      <c r="L13" s="352">
        <f>ROUND(VLOOKUP($E13,'[1]BDEW-Standard'!$B$3:$M$158,L$9,0),1)</f>
        <v>40</v>
      </c>
      <c r="M13" s="279">
        <f>ROUND(VLOOKUP($E13,'[1]BDEW-Standard'!$B$3:$M$158,M$9,0),7)</f>
        <v>0</v>
      </c>
      <c r="N13" s="279">
        <f>ROUND(VLOOKUP($E13,'[1]BDEW-Standard'!$B$3:$M$158,N$9,0),7)</f>
        <v>0</v>
      </c>
      <c r="O13" s="279">
        <f>ROUND(VLOOKUP($E13,'[1]BDEW-Standard'!$B$3:$M$158,O$9,0),7)</f>
        <v>0</v>
      </c>
      <c r="P13" s="279">
        <f>ROUND(VLOOKUP($E13,'[1]BDEW-Standard'!$B$3:$M$158,P$9,0),7)</f>
        <v>0</v>
      </c>
      <c r="Q13" s="353">
        <f t="shared" si="1"/>
        <v>1.0083439326442527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5" si="2">7-SUM(R13:W13)</f>
        <v>1</v>
      </c>
      <c r="Y13" s="303"/>
      <c r="Z13" s="213"/>
    </row>
    <row r="14" spans="2:26" s="144" customFormat="1">
      <c r="B14" s="145">
        <v>3</v>
      </c>
      <c r="C14" s="146" t="str">
        <f t="shared" si="0"/>
        <v>Landau</v>
      </c>
      <c r="D14" s="63" t="s">
        <v>248</v>
      </c>
      <c r="E14" s="166" t="s">
        <v>666</v>
      </c>
      <c r="F14" s="307" t="str">
        <f>VLOOKUP($E14,'[1]BDEW-Standard'!$B$3:$M$158,F$9,0)</f>
        <v>BA4</v>
      </c>
      <c r="H14" s="279">
        <f>ROUND(VLOOKUP($E14,'[1]BDEW-Standard'!$B$3:$M$158,H$9,0),7)</f>
        <v>0.93158890000000005</v>
      </c>
      <c r="I14" s="279">
        <f>ROUND(VLOOKUP($E14,'[1]BDEW-Standard'!$B$3:$M$158,I$9,0),7)</f>
        <v>-33.35</v>
      </c>
      <c r="J14" s="279">
        <f>ROUND(VLOOKUP($E14,'[1]BDEW-Standard'!$B$3:$M$158,J$9,0),7)</f>
        <v>5.7212303000000002</v>
      </c>
      <c r="K14" s="279">
        <f>ROUND(VLOOKUP($E14,'[1]BDEW-Standard'!$B$3:$M$158,K$9,0),7)</f>
        <v>0.66564939999999995</v>
      </c>
      <c r="L14" s="352">
        <f>ROUND(VLOOKUP($E14,'[1]BDEW-Standard'!$B$3:$M$158,L$9,0),1)</f>
        <v>40</v>
      </c>
      <c r="M14" s="279">
        <f>ROUND(VLOOKUP($E14,'[1]BDEW-Standard'!$B$3:$M$158,M$9,0),7)</f>
        <v>0</v>
      </c>
      <c r="N14" s="279">
        <f>ROUND(VLOOKUP($E14,'[1]BDEW-Standard'!$B$3:$M$158,N$9,0),7)</f>
        <v>0</v>
      </c>
      <c r="O14" s="279">
        <f>ROUND(VLOOKUP($E14,'[1]BDEW-Standard'!$B$3:$M$158,O$9,0),7)</f>
        <v>0</v>
      </c>
      <c r="P14" s="279">
        <f>ROUND(VLOOKUP($E14,'[1]BDEW-Standard'!$B$3:$M$158,P$9,0),7)</f>
        <v>0</v>
      </c>
      <c r="Q14" s="353">
        <f t="shared" si="1"/>
        <v>1.0766391850538448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si="2"/>
        <v>0.95650000000000013</v>
      </c>
      <c r="Y14" s="303"/>
      <c r="Z14" s="213"/>
    </row>
    <row r="15" spans="2:26" s="144" customFormat="1">
      <c r="B15" s="145">
        <v>4</v>
      </c>
      <c r="C15" s="146" t="str">
        <f t="shared" si="0"/>
        <v>Landau</v>
      </c>
      <c r="D15" s="63" t="s">
        <v>248</v>
      </c>
      <c r="E15" s="166" t="s">
        <v>667</v>
      </c>
      <c r="F15" s="307" t="str">
        <f>VLOOKUP($E15,'[1]BDEW-Standard'!$B$3:$M$158,F$9,0)</f>
        <v>BD4</v>
      </c>
      <c r="H15" s="279">
        <f>ROUND(VLOOKUP($E15,'[1]BDEW-Standard'!$B$3:$M$158,H$9,0),7)</f>
        <v>3.75</v>
      </c>
      <c r="I15" s="279">
        <f>ROUND(VLOOKUP($E15,'[1]BDEW-Standard'!$B$3:$M$158,I$9,0),7)</f>
        <v>-37.5</v>
      </c>
      <c r="J15" s="279">
        <f>ROUND(VLOOKUP($E15,'[1]BDEW-Standard'!$B$3:$M$158,J$9,0),7)</f>
        <v>6.8</v>
      </c>
      <c r="K15" s="279">
        <f>ROUND(VLOOKUP($E15,'[1]BDEW-Standard'!$B$3:$M$158,K$9,0),7)</f>
        <v>6.0911300000000002E-2</v>
      </c>
      <c r="L15" s="352">
        <f>ROUND(VLOOKUP($E15,'[1]BDEW-Standard'!$B$3:$M$158,L$9,0),1)</f>
        <v>40</v>
      </c>
      <c r="M15" s="279">
        <f>ROUND(VLOOKUP($E15,'[1]BDEW-Standard'!$B$3:$M$158,M$9,0),7)</f>
        <v>0</v>
      </c>
      <c r="N15" s="279">
        <f>ROUND(VLOOKUP($E15,'[1]BDEW-Standard'!$B$3:$M$158,N$9,0),7)</f>
        <v>0</v>
      </c>
      <c r="O15" s="279">
        <f>ROUND(VLOOKUP($E15,'[1]BDEW-Standard'!$B$3:$M$158,O$9,0),7)</f>
        <v>0</v>
      </c>
      <c r="P15" s="279">
        <f>ROUND(VLOOKUP($E15,'[1]BDEW-Standard'!$B$3:$M$158,P$9,0),7)</f>
        <v>0</v>
      </c>
      <c r="Q15" s="353">
        <f t="shared" si="1"/>
        <v>1.0126136468627658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3"/>
    </row>
    <row r="16" spans="2:26" s="144" customFormat="1">
      <c r="B16" s="145">
        <v>5</v>
      </c>
      <c r="C16" s="146" t="str">
        <f t="shared" si="0"/>
        <v>Landau</v>
      </c>
      <c r="D16" s="63" t="s">
        <v>248</v>
      </c>
      <c r="E16" s="166" t="s">
        <v>668</v>
      </c>
      <c r="F16" s="307" t="str">
        <f>VLOOKUP($E16,'[1]BDEW-Standard'!$B$3:$M$158,F$9,0)</f>
        <v>BH4</v>
      </c>
      <c r="H16" s="279">
        <f>ROUND(VLOOKUP($E16,'[1]BDEW-Standard'!$B$3:$M$158,H$9,0),7)</f>
        <v>2.4595180999999999</v>
      </c>
      <c r="I16" s="279">
        <f>ROUND(VLOOKUP($E16,'[1]BDEW-Standard'!$B$3:$M$158,I$9,0),7)</f>
        <v>-35.253212400000002</v>
      </c>
      <c r="J16" s="279">
        <f>ROUND(VLOOKUP($E16,'[1]BDEW-Standard'!$B$3:$M$158,J$9,0),7)</f>
        <v>6.0587001000000003</v>
      </c>
      <c r="K16" s="279">
        <f>ROUND(VLOOKUP($E16,'[1]BDEW-Standard'!$B$3:$M$158,K$9,0),7)</f>
        <v>0.16473699999999999</v>
      </c>
      <c r="L16" s="352">
        <f>ROUND(VLOOKUP($E16,'[1]BDEW-Standard'!$B$3:$M$158,L$9,0),1)</f>
        <v>40</v>
      </c>
      <c r="M16" s="279">
        <f>ROUND(VLOOKUP($E16,'[1]BDEW-Standard'!$B$3:$M$158,M$9,0),7)</f>
        <v>0</v>
      </c>
      <c r="N16" s="279">
        <f>ROUND(VLOOKUP($E16,'[1]BDEW-Standard'!$B$3:$M$158,N$9,0),7)</f>
        <v>0</v>
      </c>
      <c r="O16" s="279">
        <f>ROUND(VLOOKUP($E16,'[1]BDEW-Standard'!$B$3:$M$158,O$9,0),7)</f>
        <v>0</v>
      </c>
      <c r="P16" s="279">
        <f>ROUND(VLOOKUP($E16,'[1]BDEW-Standard'!$B$3:$M$158,P$9,0),7)</f>
        <v>0</v>
      </c>
      <c r="Q16" s="353">
        <f t="shared" si="1"/>
        <v>1.043802057143173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3"/>
    </row>
    <row r="17" spans="2:26" s="144" customFormat="1">
      <c r="B17" s="145">
        <v>6</v>
      </c>
      <c r="C17" s="146" t="str">
        <f t="shared" si="0"/>
        <v>Landau</v>
      </c>
      <c r="D17" s="63" t="s">
        <v>248</v>
      </c>
      <c r="E17" s="166" t="s">
        <v>669</v>
      </c>
      <c r="F17" s="307" t="str">
        <f>VLOOKUP($E17,'[1]BDEW-Standard'!$B$3:$M$158,F$9,0)</f>
        <v>GA4</v>
      </c>
      <c r="H17" s="279">
        <f>ROUND(VLOOKUP($E17,'[1]BDEW-Standard'!$B$3:$M$158,H$9,0),7)</f>
        <v>2.8195655999999998</v>
      </c>
      <c r="I17" s="279">
        <f>ROUND(VLOOKUP($E17,'[1]BDEW-Standard'!$B$3:$M$158,I$9,0),7)</f>
        <v>-36</v>
      </c>
      <c r="J17" s="279">
        <f>ROUND(VLOOKUP($E17,'[1]BDEW-Standard'!$B$3:$M$158,J$9,0),7)</f>
        <v>7.7368518000000002</v>
      </c>
      <c r="K17" s="279">
        <f>ROUND(VLOOKUP($E17,'[1]BDEW-Standard'!$B$3:$M$158,K$9,0),7)</f>
        <v>0.157281</v>
      </c>
      <c r="L17" s="352">
        <f>ROUND(VLOOKUP($E17,'[1]BDEW-Standard'!$B$3:$M$158,L$9,0),1)</f>
        <v>40</v>
      </c>
      <c r="M17" s="279">
        <f>ROUND(VLOOKUP($E17,'[1]BDEW-Standard'!$B$3:$M$158,M$9,0),7)</f>
        <v>0</v>
      </c>
      <c r="N17" s="279">
        <f>ROUND(VLOOKUP($E17,'[1]BDEW-Standard'!$B$3:$M$158,N$9,0),7)</f>
        <v>0</v>
      </c>
      <c r="O17" s="279">
        <f>ROUND(VLOOKUP($E17,'[1]BDEW-Standard'!$B$3:$M$158,O$9,0),7)</f>
        <v>0</v>
      </c>
      <c r="P17" s="279">
        <f>ROUND(VLOOKUP($E17,'[1]BDEW-Standard'!$B$3:$M$158,P$9,0),7)</f>
        <v>0</v>
      </c>
      <c r="Q17" s="353">
        <f t="shared" si="1"/>
        <v>0.96576337685759206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3"/>
    </row>
    <row r="18" spans="2:26" s="144" customFormat="1">
      <c r="B18" s="145">
        <v>7</v>
      </c>
      <c r="C18" s="146" t="str">
        <f t="shared" si="0"/>
        <v>Landau</v>
      </c>
      <c r="D18" s="63" t="s">
        <v>248</v>
      </c>
      <c r="E18" s="166" t="s">
        <v>670</v>
      </c>
      <c r="F18" s="307" t="str">
        <f>VLOOKUP($E18,'[1]BDEW-Standard'!$B$3:$M$158,F$9,0)</f>
        <v>GB4</v>
      </c>
      <c r="H18" s="279">
        <f>ROUND(VLOOKUP($E18,'[1]BDEW-Standard'!$B$3:$M$158,H$9,0),7)</f>
        <v>3.6017736</v>
      </c>
      <c r="I18" s="279">
        <f>ROUND(VLOOKUP($E18,'[1]BDEW-Standard'!$B$3:$M$158,I$9,0),7)</f>
        <v>-37.882536799999997</v>
      </c>
      <c r="J18" s="279">
        <f>ROUND(VLOOKUP($E18,'[1]BDEW-Standard'!$B$3:$M$158,J$9,0),7)</f>
        <v>6.9836070000000001</v>
      </c>
      <c r="K18" s="279">
        <f>ROUND(VLOOKUP($E18,'[1]BDEW-Standard'!$B$3:$M$158,K$9,0),7)</f>
        <v>5.4826199999999999E-2</v>
      </c>
      <c r="L18" s="352">
        <f>ROUND(VLOOKUP($E18,'[1]BDEW-Standard'!$B$3:$M$158,L$9,0),1)</f>
        <v>40</v>
      </c>
      <c r="M18" s="279">
        <f>ROUND(VLOOKUP($E18,'[1]BDEW-Standard'!$B$3:$M$158,M$9,0),7)</f>
        <v>0</v>
      </c>
      <c r="N18" s="279">
        <f>ROUND(VLOOKUP($E18,'[1]BDEW-Standard'!$B$3:$M$158,N$9,0),7)</f>
        <v>0</v>
      </c>
      <c r="O18" s="279">
        <f>ROUND(VLOOKUP($E18,'[1]BDEW-Standard'!$B$3:$M$158,O$9,0),7)</f>
        <v>0</v>
      </c>
      <c r="P18" s="279">
        <f>ROUND(VLOOKUP($E18,'[1]BDEW-Standard'!$B$3:$M$158,P$9,0),7)</f>
        <v>0</v>
      </c>
      <c r="Q18" s="353">
        <f t="shared" si="1"/>
        <v>0.90239375975311864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3"/>
    </row>
    <row r="19" spans="2:26" s="144" customFormat="1">
      <c r="B19" s="145">
        <v>8</v>
      </c>
      <c r="C19" s="146" t="str">
        <f t="shared" si="0"/>
        <v>Landau</v>
      </c>
      <c r="D19" s="63" t="s">
        <v>248</v>
      </c>
      <c r="E19" s="166" t="s">
        <v>671</v>
      </c>
      <c r="F19" s="307" t="str">
        <f>VLOOKUP($E19,'[1]BDEW-Standard'!$B$3:$M$158,F$9,0)</f>
        <v>HA4</v>
      </c>
      <c r="H19" s="279">
        <f>ROUND(VLOOKUP($E19,'[1]BDEW-Standard'!$B$3:$M$158,H$9,0),7)</f>
        <v>4.0196902000000003</v>
      </c>
      <c r="I19" s="279">
        <f>ROUND(VLOOKUP($E19,'[1]BDEW-Standard'!$B$3:$M$158,I$9,0),7)</f>
        <v>-37.828203700000003</v>
      </c>
      <c r="J19" s="279">
        <f>ROUND(VLOOKUP($E19,'[1]BDEW-Standard'!$B$3:$M$158,J$9,0),7)</f>
        <v>8.1593368999999996</v>
      </c>
      <c r="K19" s="279">
        <f>ROUND(VLOOKUP($E19,'[1]BDEW-Standard'!$B$3:$M$158,K$9,0),7)</f>
        <v>4.72845E-2</v>
      </c>
      <c r="L19" s="352">
        <f>ROUND(VLOOKUP($E19,'[1]BDEW-Standard'!$B$3:$M$158,L$9,0),1)</f>
        <v>40</v>
      </c>
      <c r="M19" s="279">
        <f>ROUND(VLOOKUP($E19,'[1]BDEW-Standard'!$B$3:$M$158,M$9,0),7)</f>
        <v>0</v>
      </c>
      <c r="N19" s="279">
        <f>ROUND(VLOOKUP($E19,'[1]BDEW-Standard'!$B$3:$M$158,N$9,0),7)</f>
        <v>0</v>
      </c>
      <c r="O19" s="279">
        <f>ROUND(VLOOKUP($E19,'[1]BDEW-Standard'!$B$3:$M$158,O$9,0),7)</f>
        <v>0</v>
      </c>
      <c r="P19" s="279">
        <f>ROUND(VLOOKUP($E19,'[1]BDEW-Standard'!$B$3:$M$158,P$9,0),7)</f>
        <v>0</v>
      </c>
      <c r="Q19" s="353">
        <f t="shared" si="1"/>
        <v>0.86486713303260787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3"/>
    </row>
    <row r="20" spans="2:26" s="144" customFormat="1">
      <c r="B20" s="145">
        <v>9</v>
      </c>
      <c r="C20" s="146" t="str">
        <f t="shared" si="0"/>
        <v>Landau</v>
      </c>
      <c r="D20" s="63" t="s">
        <v>248</v>
      </c>
      <c r="E20" s="166" t="s">
        <v>672</v>
      </c>
      <c r="F20" s="307" t="str">
        <f>VLOOKUP($E20,'[1]BDEW-Standard'!$B$3:$M$158,F$9,0)</f>
        <v>KO4</v>
      </c>
      <c r="H20" s="279">
        <f>ROUND(VLOOKUP($E20,'[1]BDEW-Standard'!$B$3:$M$158,H$9,0),7)</f>
        <v>3.4428942999999999</v>
      </c>
      <c r="I20" s="279">
        <f>ROUND(VLOOKUP($E20,'[1]BDEW-Standard'!$B$3:$M$158,I$9,0),7)</f>
        <v>-36.659050399999998</v>
      </c>
      <c r="J20" s="279">
        <f>ROUND(VLOOKUP($E20,'[1]BDEW-Standard'!$B$3:$M$158,J$9,0),7)</f>
        <v>7.6083226000000002</v>
      </c>
      <c r="K20" s="279">
        <f>ROUND(VLOOKUP($E20,'[1]BDEW-Standard'!$B$3:$M$158,K$9,0),7)</f>
        <v>7.4685000000000001E-2</v>
      </c>
      <c r="L20" s="352">
        <f>ROUND(VLOOKUP($E20,'[1]BDEW-Standard'!$B$3:$M$158,L$9,0),1)</f>
        <v>40</v>
      </c>
      <c r="M20" s="279">
        <f>ROUND(VLOOKUP($E20,'[1]BDEW-Standard'!$B$3:$M$158,M$9,0),7)</f>
        <v>0</v>
      </c>
      <c r="N20" s="279">
        <f>ROUND(VLOOKUP($E20,'[1]BDEW-Standard'!$B$3:$M$158,N$9,0),7)</f>
        <v>0</v>
      </c>
      <c r="O20" s="279">
        <f>ROUND(VLOOKUP($E20,'[1]BDEW-Standard'!$B$3:$M$158,O$9,0),7)</f>
        <v>0</v>
      </c>
      <c r="P20" s="279">
        <f>ROUND(VLOOKUP($E20,'[1]BDEW-Standard'!$B$3:$M$158,P$9,0),7)</f>
        <v>0</v>
      </c>
      <c r="Q20" s="353">
        <f t="shared" si="1"/>
        <v>0.97768382110526542</v>
      </c>
      <c r="R20" s="281">
        <f>ROUND(VLOOKUP(MID($E20,4,3),'Wochentag F(WT)'!$B$7:$J$22,R$9,0),4)</f>
        <v>1.0354000000000001</v>
      </c>
      <c r="S20" s="281">
        <f>ROUND(VLOOKUP(MID($E20,4,3),'Wochentag F(WT)'!$B$7:$J$22,S$9,0),4)</f>
        <v>1.0523</v>
      </c>
      <c r="T20" s="281">
        <f>ROUND(VLOOKUP(MID($E20,4,3),'Wochentag F(WT)'!$B$7:$J$22,T$9,0),4)</f>
        <v>1.0448999999999999</v>
      </c>
      <c r="U20" s="281">
        <f>ROUND(VLOOKUP(MID($E20,4,3),'Wochentag F(WT)'!$B$7:$J$22,U$9,0),4)</f>
        <v>1.0494000000000001</v>
      </c>
      <c r="V20" s="281">
        <f>ROUND(VLOOKUP(MID($E20,4,3),'Wochentag F(WT)'!$B$7:$J$22,V$9,0),4)</f>
        <v>0.98850000000000005</v>
      </c>
      <c r="W20" s="281">
        <f>ROUND(VLOOKUP(MID($E20,4,3),'Wochentag F(WT)'!$B$7:$J$22,W$9,0),4)</f>
        <v>0.88600000000000001</v>
      </c>
      <c r="X20" s="282">
        <f t="shared" si="2"/>
        <v>0.94349999999999934</v>
      </c>
      <c r="Y20" s="303"/>
      <c r="Z20" s="213"/>
    </row>
    <row r="21" spans="2:26" s="144" customFormat="1">
      <c r="B21" s="145">
        <v>10</v>
      </c>
      <c r="C21" s="146" t="str">
        <f t="shared" si="0"/>
        <v>Landau</v>
      </c>
      <c r="D21" s="63" t="s">
        <v>248</v>
      </c>
      <c r="E21" s="166" t="s">
        <v>673</v>
      </c>
      <c r="F21" s="307" t="str">
        <f>VLOOKUP($E21,'[1]BDEW-Standard'!$B$3:$M$158,F$9,0)</f>
        <v>MF4</v>
      </c>
      <c r="H21" s="279">
        <f>ROUND(VLOOKUP($E21,'[1]BDEW-Standard'!$B$3:$M$158,H$9,0),7)</f>
        <v>2.5187775000000001</v>
      </c>
      <c r="I21" s="279">
        <f>ROUND(VLOOKUP($E21,'[1]BDEW-Standard'!$B$3:$M$158,I$9,0),7)</f>
        <v>-35.033375399999997</v>
      </c>
      <c r="J21" s="279">
        <f>ROUND(VLOOKUP($E21,'[1]BDEW-Standard'!$B$3:$M$158,J$9,0),7)</f>
        <v>6.2240634000000004</v>
      </c>
      <c r="K21" s="279">
        <f>ROUND(VLOOKUP($E21,'[1]BDEW-Standard'!$B$3:$M$158,K$9,0),7)</f>
        <v>0.10107820000000001</v>
      </c>
      <c r="L21" s="352">
        <f>ROUND(VLOOKUP($E21,'[1]BDEW-Standard'!$B$3:$M$158,L$9,0),1)</f>
        <v>40</v>
      </c>
      <c r="M21" s="279">
        <f>ROUND(VLOOKUP($E21,'[1]BDEW-Standard'!$B$3:$M$158,M$9,0),7)</f>
        <v>0</v>
      </c>
      <c r="N21" s="279">
        <f>ROUND(VLOOKUP($E21,'[1]BDEW-Standard'!$B$3:$M$158,N$9,0),7)</f>
        <v>0</v>
      </c>
      <c r="O21" s="279">
        <f>ROUND(VLOOKUP($E21,'[1]BDEW-Standard'!$B$3:$M$158,O$9,0),7)</f>
        <v>0</v>
      </c>
      <c r="P21" s="279">
        <f>ROUND(VLOOKUP($E21,'[1]BDEW-Standard'!$B$3:$M$158,P$9,0),7)</f>
        <v>0</v>
      </c>
      <c r="Q21" s="353">
        <f t="shared" si="1"/>
        <v>1.0146273685996503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3"/>
    </row>
    <row r="22" spans="2:26" s="144" customFormat="1">
      <c r="B22" s="145">
        <v>11</v>
      </c>
      <c r="C22" s="146" t="str">
        <f t="shared" si="0"/>
        <v>Landau</v>
      </c>
      <c r="D22" s="63" t="s">
        <v>248</v>
      </c>
      <c r="E22" s="166" t="s">
        <v>674</v>
      </c>
      <c r="F22" s="307" t="str">
        <f>VLOOKUP($E22,'[1]BDEW-Standard'!$B$3:$M$158,F$9,0)</f>
        <v>MK4</v>
      </c>
      <c r="H22" s="279">
        <f>ROUND(VLOOKUP($E22,'[1]BDEW-Standard'!$B$3:$M$158,H$9,0),7)</f>
        <v>3.1177248</v>
      </c>
      <c r="I22" s="279">
        <f>ROUND(VLOOKUP($E22,'[1]BDEW-Standard'!$B$3:$M$158,I$9,0),7)</f>
        <v>-35.871506199999999</v>
      </c>
      <c r="J22" s="279">
        <f>ROUND(VLOOKUP($E22,'[1]BDEW-Standard'!$B$3:$M$158,J$9,0),7)</f>
        <v>7.5186828999999999</v>
      </c>
      <c r="K22" s="279">
        <f>ROUND(VLOOKUP($E22,'[1]BDEW-Standard'!$B$3:$M$158,K$9,0),7)</f>
        <v>3.4330100000000002E-2</v>
      </c>
      <c r="L22" s="352">
        <f>ROUND(VLOOKUP($E22,'[1]BDEW-Standard'!$B$3:$M$158,L$9,0),1)</f>
        <v>40</v>
      </c>
      <c r="M22" s="279">
        <f>ROUND(VLOOKUP($E22,'[1]BDEW-Standard'!$B$3:$M$158,M$9,0),7)</f>
        <v>0</v>
      </c>
      <c r="N22" s="279">
        <f>ROUND(VLOOKUP($E22,'[1]BDEW-Standard'!$B$3:$M$158,N$9,0),7)</f>
        <v>0</v>
      </c>
      <c r="O22" s="279">
        <f>ROUND(VLOOKUP($E22,'[1]BDEW-Standard'!$B$3:$M$158,O$9,0),7)</f>
        <v>0</v>
      </c>
      <c r="P22" s="279">
        <f>ROUND(VLOOKUP($E22,'[1]BDEW-Standard'!$B$3:$M$158,P$9,0),7)</f>
        <v>0</v>
      </c>
      <c r="Q22" s="353">
        <f t="shared" si="1"/>
        <v>0.9622064996731321</v>
      </c>
      <c r="R22" s="281">
        <f>ROUND(VLOOKUP(MID($E22,4,3),'Wochentag F(WT)'!$B$7:$J$22,R$9,0),4)</f>
        <v>1.0699000000000001</v>
      </c>
      <c r="S22" s="281">
        <f>ROUND(VLOOKUP(MID($E22,4,3),'Wochentag F(WT)'!$B$7:$J$22,S$9,0),4)</f>
        <v>1.0365</v>
      </c>
      <c r="T22" s="281">
        <f>ROUND(VLOOKUP(MID($E22,4,3),'Wochentag F(WT)'!$B$7:$J$22,T$9,0),4)</f>
        <v>0.99329999999999996</v>
      </c>
      <c r="U22" s="281">
        <f>ROUND(VLOOKUP(MID($E22,4,3),'Wochentag F(WT)'!$B$7:$J$22,U$9,0),4)</f>
        <v>0.99480000000000002</v>
      </c>
      <c r="V22" s="281">
        <f>ROUND(VLOOKUP(MID($E22,4,3),'Wochentag F(WT)'!$B$7:$J$22,V$9,0),4)</f>
        <v>1.0659000000000001</v>
      </c>
      <c r="W22" s="281">
        <f>ROUND(VLOOKUP(MID($E22,4,3),'Wochentag F(WT)'!$B$7:$J$22,W$9,0),4)</f>
        <v>0.93620000000000003</v>
      </c>
      <c r="X22" s="282">
        <f t="shared" si="2"/>
        <v>0.90339999999999954</v>
      </c>
      <c r="Y22" s="303"/>
      <c r="Z22" s="213"/>
    </row>
    <row r="23" spans="2:26" s="144" customFormat="1">
      <c r="B23" s="145">
        <v>12</v>
      </c>
      <c r="C23" s="146" t="str">
        <f t="shared" si="0"/>
        <v>Landau</v>
      </c>
      <c r="D23" s="63" t="s">
        <v>248</v>
      </c>
      <c r="E23" s="166" t="s">
        <v>675</v>
      </c>
      <c r="F23" s="307" t="str">
        <f>VLOOKUP($E23,'[1]BDEW-Standard'!$B$3:$M$158,F$9,0)</f>
        <v>PD4</v>
      </c>
      <c r="H23" s="279">
        <f>ROUND(VLOOKUP($E23,'[1]BDEW-Standard'!$B$3:$M$158,H$9,0),7)</f>
        <v>3.85</v>
      </c>
      <c r="I23" s="279">
        <f>ROUND(VLOOKUP($E23,'[1]BDEW-Standard'!$B$3:$M$158,I$9,0),7)</f>
        <v>-37</v>
      </c>
      <c r="J23" s="279">
        <f>ROUND(VLOOKUP($E23,'[1]BDEW-Standard'!$B$3:$M$158,J$9,0),7)</f>
        <v>10.2405021</v>
      </c>
      <c r="K23" s="279">
        <f>ROUND(VLOOKUP($E23,'[1]BDEW-Standard'!$B$3:$M$158,K$9,0),7)</f>
        <v>4.6924300000000002E-2</v>
      </c>
      <c r="L23" s="352">
        <f>ROUND(VLOOKUP($E23,'[1]BDEW-Standard'!$B$3:$M$158,L$9,0),1)</f>
        <v>40</v>
      </c>
      <c r="M23" s="279">
        <f>ROUND(VLOOKUP($E23,'[1]BDEW-Standard'!$B$3:$M$158,M$9,0),7)</f>
        <v>0</v>
      </c>
      <c r="N23" s="279">
        <f>ROUND(VLOOKUP($E23,'[1]BDEW-Standard'!$B$3:$M$158,N$9,0),7)</f>
        <v>0</v>
      </c>
      <c r="O23" s="279">
        <f>ROUND(VLOOKUP($E23,'[1]BDEW-Standard'!$B$3:$M$158,O$9,0),7)</f>
        <v>0</v>
      </c>
      <c r="P23" s="279">
        <f>ROUND(VLOOKUP($E23,'[1]BDEW-Standard'!$B$3:$M$158,P$9,0),7)</f>
        <v>0</v>
      </c>
      <c r="Q23" s="353">
        <f t="shared" si="1"/>
        <v>0.75691065279879233</v>
      </c>
      <c r="R23" s="281">
        <f>ROUND(VLOOKUP(MID($E23,4,3),'Wochentag F(WT)'!$B$7:$J$22,R$9,0),4)</f>
        <v>1.0214000000000001</v>
      </c>
      <c r="S23" s="281">
        <f>ROUND(VLOOKUP(MID($E23,4,3),'Wochentag F(WT)'!$B$7:$J$22,S$9,0),4)</f>
        <v>1.0866</v>
      </c>
      <c r="T23" s="281">
        <f>ROUND(VLOOKUP(MID($E23,4,3),'Wochentag F(WT)'!$B$7:$J$22,T$9,0),4)</f>
        <v>1.0720000000000001</v>
      </c>
      <c r="U23" s="281">
        <f>ROUND(VLOOKUP(MID($E23,4,3),'Wochentag F(WT)'!$B$7:$J$22,U$9,0),4)</f>
        <v>1.0557000000000001</v>
      </c>
      <c r="V23" s="281">
        <f>ROUND(VLOOKUP(MID($E23,4,3),'Wochentag F(WT)'!$B$7:$J$22,V$9,0),4)</f>
        <v>1.0117</v>
      </c>
      <c r="W23" s="281">
        <f>ROUND(VLOOKUP(MID($E23,4,3),'Wochentag F(WT)'!$B$7:$J$22,W$9,0),4)</f>
        <v>0.90010000000000001</v>
      </c>
      <c r="X23" s="282">
        <f t="shared" si="2"/>
        <v>0.85249999999999915</v>
      </c>
      <c r="Y23" s="303"/>
      <c r="Z23" s="213"/>
    </row>
    <row r="24" spans="2:26" s="144" customFormat="1">
      <c r="B24" s="145">
        <v>13</v>
      </c>
      <c r="C24" s="146" t="str">
        <f t="shared" si="0"/>
        <v>Landau</v>
      </c>
      <c r="D24" s="63" t="s">
        <v>248</v>
      </c>
      <c r="E24" s="166" t="s">
        <v>676</v>
      </c>
      <c r="F24" s="307" t="str">
        <f>VLOOKUP($E24,'[1]BDEW-Standard'!$B$3:$M$158,F$9,0)</f>
        <v>WA4</v>
      </c>
      <c r="H24" s="279">
        <f>ROUND(VLOOKUP($E24,'[1]BDEW-Standard'!$B$3:$M$158,H$9,0),7)</f>
        <v>1.0535874999999999</v>
      </c>
      <c r="I24" s="279">
        <f>ROUND(VLOOKUP($E24,'[1]BDEW-Standard'!$B$3:$M$158,I$9,0),7)</f>
        <v>-35.299999999999997</v>
      </c>
      <c r="J24" s="279">
        <f>ROUND(VLOOKUP($E24,'[1]BDEW-Standard'!$B$3:$M$158,J$9,0),7)</f>
        <v>4.8662747</v>
      </c>
      <c r="K24" s="279">
        <f>ROUND(VLOOKUP($E24,'[1]BDEW-Standard'!$B$3:$M$158,K$9,0),7)</f>
        <v>0.68110420000000005</v>
      </c>
      <c r="L24" s="352">
        <f>ROUND(VLOOKUP($E24,'[1]BDEW-Standard'!$B$3:$M$158,L$9,0),1)</f>
        <v>40</v>
      </c>
      <c r="M24" s="279">
        <f>ROUND(VLOOKUP($E24,'[1]BDEW-Standard'!$B$3:$M$158,M$9,0),7)</f>
        <v>0</v>
      </c>
      <c r="N24" s="279">
        <f>ROUND(VLOOKUP($E24,'[1]BDEW-Standard'!$B$3:$M$158,N$9,0),7)</f>
        <v>0</v>
      </c>
      <c r="O24" s="279">
        <f>ROUND(VLOOKUP($E24,'[1]BDEW-Standard'!$B$3:$M$158,O$9,0),7)</f>
        <v>0</v>
      </c>
      <c r="P24" s="279">
        <f>ROUND(VLOOKUP($E24,'[1]BDEW-Standard'!$B$3:$M$158,P$9,0),7)</f>
        <v>0</v>
      </c>
      <c r="Q24" s="353">
        <f t="shared" si="1"/>
        <v>1.0844348950990992</v>
      </c>
      <c r="R24" s="281">
        <f>ROUND(VLOOKUP(MID($E24,4,3),'Wochentag F(WT)'!$B$7:$J$22,R$9,0),4)</f>
        <v>1.2457</v>
      </c>
      <c r="S24" s="281">
        <f>ROUND(VLOOKUP(MID($E24,4,3),'Wochentag F(WT)'!$B$7:$J$22,S$9,0),4)</f>
        <v>1.2615000000000001</v>
      </c>
      <c r="T24" s="281">
        <f>ROUND(VLOOKUP(MID($E24,4,3),'Wochentag F(WT)'!$B$7:$J$22,T$9,0),4)</f>
        <v>1.2706999999999999</v>
      </c>
      <c r="U24" s="281">
        <f>ROUND(VLOOKUP(MID($E24,4,3),'Wochentag F(WT)'!$B$7:$J$22,U$9,0),4)</f>
        <v>1.2430000000000001</v>
      </c>
      <c r="V24" s="281">
        <f>ROUND(VLOOKUP(MID($E24,4,3),'Wochentag F(WT)'!$B$7:$J$22,V$9,0),4)</f>
        <v>1.1275999999999999</v>
      </c>
      <c r="W24" s="281">
        <f>ROUND(VLOOKUP(MID($E24,4,3),'Wochentag F(WT)'!$B$7:$J$22,W$9,0),4)</f>
        <v>0.38769999999999999</v>
      </c>
      <c r="X24" s="282">
        <f t="shared" si="2"/>
        <v>0.46379999999999999</v>
      </c>
      <c r="Y24" s="303"/>
      <c r="Z24" s="213"/>
    </row>
    <row r="25" spans="2:26" s="144" customFormat="1">
      <c r="B25" s="145">
        <v>14</v>
      </c>
      <c r="C25" s="146" t="str">
        <f t="shared" si="0"/>
        <v>Landau</v>
      </c>
      <c r="D25" s="63" t="s">
        <v>248</v>
      </c>
      <c r="E25" s="166" t="s">
        <v>4</v>
      </c>
      <c r="F25" s="307" t="str">
        <f>VLOOKUP($E25,'[1]BDEW-Standard'!$B$3:$M$158,F$9,0)</f>
        <v>HK3</v>
      </c>
      <c r="H25" s="279">
        <f>ROUND(VLOOKUP($E25,'[1]BDEW-Standard'!$B$3:$M$158,H$9,0),7)</f>
        <v>0.40409319999999999</v>
      </c>
      <c r="I25" s="279">
        <f>ROUND(VLOOKUP($E25,'[1]BDEW-Standard'!$B$3:$M$158,I$9,0),7)</f>
        <v>-24.439296800000001</v>
      </c>
      <c r="J25" s="279">
        <f>ROUND(VLOOKUP($E25,'[1]BDEW-Standard'!$B$3:$M$158,J$9,0),7)</f>
        <v>6.5718174999999999</v>
      </c>
      <c r="K25" s="279">
        <f>ROUND(VLOOKUP($E25,'[1]BDEW-Standard'!$B$3:$M$158,K$9,0),7)</f>
        <v>0.71077100000000004</v>
      </c>
      <c r="L25" s="352">
        <f>ROUND(VLOOKUP($E25,'[1]BDEW-Standard'!$B$3:$M$158,L$9,0),1)</f>
        <v>40</v>
      </c>
      <c r="M25" s="279">
        <f>ROUND(VLOOKUP($E25,'[1]BDEW-Standard'!$B$3:$M$158,M$9,0),7)</f>
        <v>0</v>
      </c>
      <c r="N25" s="279">
        <f>ROUND(VLOOKUP($E25,'[1]BDEW-Standard'!$B$3:$M$158,N$9,0),7)</f>
        <v>0</v>
      </c>
      <c r="O25" s="279">
        <f>ROUND(VLOOKUP($E25,'[1]BDEW-Standard'!$B$3:$M$158,O$9,0),7)</f>
        <v>0</v>
      </c>
      <c r="P25" s="279">
        <f>ROUND(VLOOKUP($E25,'[1]BDEW-Standard'!$B$3:$M$158,P$9,0),7)</f>
        <v>0</v>
      </c>
      <c r="Q25" s="353">
        <f t="shared" si="1"/>
        <v>1.0561214000512988</v>
      </c>
      <c r="R25" s="281">
        <f>ROUND(VLOOKUP(MID($E25,4,3),'Wochentag F(WT)'!$B$7:$J$22,R$9,0),4)</f>
        <v>1</v>
      </c>
      <c r="S25" s="281">
        <f>ROUND(VLOOKUP(MID($E25,4,3),'Wochentag F(WT)'!$B$7:$J$22,S$9,0),4)</f>
        <v>1</v>
      </c>
      <c r="T25" s="281">
        <f>ROUND(VLOOKUP(MID($E25,4,3),'Wochentag F(WT)'!$B$7:$J$22,T$9,0),4)</f>
        <v>1</v>
      </c>
      <c r="U25" s="281">
        <f>ROUND(VLOOKUP(MID($E25,4,3),'Wochentag F(WT)'!$B$7:$J$22,U$9,0),4)</f>
        <v>1</v>
      </c>
      <c r="V25" s="281">
        <f>ROUND(VLOOKUP(MID($E25,4,3),'Wochentag F(WT)'!$B$7:$J$22,V$9,0),4)</f>
        <v>1</v>
      </c>
      <c r="W25" s="281">
        <f>ROUND(VLOOKUP(MID($E25,4,3),'Wochentag F(WT)'!$B$7:$J$22,W$9,0),4)</f>
        <v>1</v>
      </c>
      <c r="X25" s="282">
        <f t="shared" si="2"/>
        <v>1</v>
      </c>
      <c r="Y25" s="303"/>
      <c r="Z25" s="213"/>
    </row>
    <row r="26" spans="2:26" s="144" customFormat="1">
      <c r="B26" s="145">
        <v>16</v>
      </c>
      <c r="C26" s="146" t="str">
        <f t="shared" si="0"/>
        <v>Landau</v>
      </c>
      <c r="D26" s="63"/>
      <c r="E26" s="167"/>
      <c r="F26" s="307"/>
      <c r="H26" s="283"/>
      <c r="I26" s="283"/>
      <c r="J26" s="283"/>
      <c r="K26" s="283"/>
      <c r="L26" s="280"/>
      <c r="M26" s="283"/>
      <c r="N26" s="283"/>
      <c r="O26" s="283"/>
      <c r="P26" s="283"/>
      <c r="Q26" s="284"/>
      <c r="R26" s="285"/>
      <c r="S26" s="285"/>
      <c r="T26" s="285"/>
      <c r="U26" s="285"/>
      <c r="V26" s="285"/>
      <c r="W26" s="285"/>
      <c r="X26" s="286"/>
      <c r="Y26" s="303"/>
    </row>
    <row r="27" spans="2:26" s="144" customFormat="1">
      <c r="B27" s="145">
        <v>17</v>
      </c>
      <c r="C27" s="146" t="str">
        <f t="shared" si="0"/>
        <v>Landau</v>
      </c>
      <c r="D27" s="63"/>
      <c r="E27" s="167"/>
      <c r="F27" s="307"/>
      <c r="H27" s="283"/>
      <c r="I27" s="283"/>
      <c r="J27" s="283"/>
      <c r="K27" s="283"/>
      <c r="L27" s="280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>
        <v>18</v>
      </c>
      <c r="C28" s="146" t="str">
        <f t="shared" si="0"/>
        <v>Landau</v>
      </c>
      <c r="D28" s="63"/>
      <c r="E28" s="167"/>
      <c r="F28" s="307"/>
      <c r="H28" s="283"/>
      <c r="I28" s="283"/>
      <c r="J28" s="283"/>
      <c r="K28" s="283"/>
      <c r="L28" s="280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>
        <v>19</v>
      </c>
      <c r="C29" s="146" t="str">
        <f t="shared" si="0"/>
        <v>Landau</v>
      </c>
      <c r="D29" s="63"/>
      <c r="E29" s="167"/>
      <c r="F29" s="307"/>
      <c r="H29" s="283"/>
      <c r="I29" s="283"/>
      <c r="J29" s="283"/>
      <c r="K29" s="283"/>
      <c r="L29" s="280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>
        <v>20</v>
      </c>
      <c r="C30" s="146" t="str">
        <f t="shared" si="0"/>
        <v>Landau</v>
      </c>
      <c r="D30" s="63"/>
      <c r="E30" s="167"/>
      <c r="F30" s="307"/>
      <c r="H30" s="283"/>
      <c r="I30" s="283"/>
      <c r="J30" s="283"/>
      <c r="K30" s="283"/>
      <c r="L30" s="280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>
        <v>21</v>
      </c>
      <c r="C31" s="146" t="str">
        <f t="shared" si="0"/>
        <v>Landau</v>
      </c>
      <c r="D31" s="63"/>
      <c r="E31" s="167"/>
      <c r="F31" s="307"/>
      <c r="H31" s="283"/>
      <c r="I31" s="283"/>
      <c r="J31" s="283"/>
      <c r="K31" s="283"/>
      <c r="L31" s="280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>
        <v>22</v>
      </c>
      <c r="C32" s="146" t="str">
        <f t="shared" si="0"/>
        <v>Landau</v>
      </c>
      <c r="D32" s="63"/>
      <c r="E32" s="167"/>
      <c r="F32" s="307"/>
      <c r="H32" s="283"/>
      <c r="I32" s="283"/>
      <c r="J32" s="283"/>
      <c r="K32" s="283"/>
      <c r="L32" s="280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>
        <v>23</v>
      </c>
      <c r="C33" s="146" t="str">
        <f t="shared" si="0"/>
        <v>Landau</v>
      </c>
      <c r="D33" s="63"/>
      <c r="E33" s="167"/>
      <c r="F33" s="307"/>
      <c r="H33" s="283"/>
      <c r="I33" s="283"/>
      <c r="J33" s="283"/>
      <c r="K33" s="283"/>
      <c r="L33" s="280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>
        <v>24</v>
      </c>
      <c r="C34" s="146" t="str">
        <f t="shared" si="0"/>
        <v>Landau</v>
      </c>
      <c r="D34" s="63"/>
      <c r="E34" s="167"/>
      <c r="F34" s="307"/>
      <c r="H34" s="283"/>
      <c r="I34" s="283"/>
      <c r="J34" s="283"/>
      <c r="K34" s="283"/>
      <c r="L34" s="280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>
        <v>25</v>
      </c>
      <c r="C35" s="146" t="str">
        <f t="shared" si="0"/>
        <v>Landau</v>
      </c>
      <c r="D35" s="63"/>
      <c r="E35" s="167"/>
      <c r="F35" s="307"/>
      <c r="H35" s="283"/>
      <c r="I35" s="283"/>
      <c r="J35" s="283"/>
      <c r="K35" s="283"/>
      <c r="L35" s="280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>
        <v>26</v>
      </c>
      <c r="C36" s="146" t="str">
        <f t="shared" si="0"/>
        <v>Landau</v>
      </c>
      <c r="D36" s="63"/>
      <c r="E36" s="167"/>
      <c r="F36" s="307"/>
      <c r="H36" s="283"/>
      <c r="I36" s="283"/>
      <c r="J36" s="283"/>
      <c r="K36" s="283"/>
      <c r="L36" s="280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>
        <v>27</v>
      </c>
      <c r="C37" s="146" t="str">
        <f t="shared" si="0"/>
        <v>Landau</v>
      </c>
      <c r="D37" s="63"/>
      <c r="E37" s="167"/>
      <c r="F37" s="307"/>
      <c r="H37" s="283"/>
      <c r="I37" s="283"/>
      <c r="J37" s="283"/>
      <c r="K37" s="283"/>
      <c r="L37" s="280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>
        <v>28</v>
      </c>
      <c r="C38" s="146" t="str">
        <f t="shared" si="0"/>
        <v>Landau</v>
      </c>
      <c r="D38" s="63"/>
      <c r="E38" s="167"/>
      <c r="F38" s="307"/>
      <c r="H38" s="283"/>
      <c r="I38" s="283"/>
      <c r="J38" s="283"/>
      <c r="K38" s="283"/>
      <c r="L38" s="280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>
        <v>29</v>
      </c>
      <c r="C39" s="146" t="str">
        <f t="shared" si="0"/>
        <v>Landau</v>
      </c>
      <c r="D39" s="63"/>
      <c r="E39" s="167"/>
      <c r="F39" s="307"/>
      <c r="H39" s="283"/>
      <c r="I39" s="283"/>
      <c r="J39" s="283"/>
      <c r="K39" s="283"/>
      <c r="L39" s="280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>
        <v>30</v>
      </c>
      <c r="C40" s="146" t="str">
        <f t="shared" si="0"/>
        <v>Landau</v>
      </c>
      <c r="D40" s="63"/>
      <c r="E40" s="167"/>
      <c r="F40" s="307"/>
      <c r="H40" s="283"/>
      <c r="I40" s="283"/>
      <c r="J40" s="283"/>
      <c r="K40" s="283"/>
      <c r="L40" s="280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R12:Y25 H26:Y40 F26:F40">
    <cfRule type="expression" dxfId="29" priority="21">
      <formula>ISERROR(F11)</formula>
    </cfRule>
  </conditionalFormatting>
  <conditionalFormatting sqref="F12 H12:K12 M12:P12">
    <cfRule type="expression" dxfId="28" priority="11">
      <formula>ISERROR(F12)</formula>
    </cfRule>
  </conditionalFormatting>
  <conditionalFormatting sqref="F12">
    <cfRule type="duplicateValues" dxfId="27" priority="12"/>
  </conditionalFormatting>
  <conditionalFormatting sqref="L12">
    <cfRule type="expression" dxfId="26" priority="10">
      <formula>ISERROR(L12)</formula>
    </cfRule>
  </conditionalFormatting>
  <conditionalFormatting sqref="Q12">
    <cfRule type="expression" dxfId="25" priority="9">
      <formula>ISERROR(Q12)</formula>
    </cfRule>
  </conditionalFormatting>
  <conditionalFormatting sqref="F13 H13:K13 M13:P13">
    <cfRule type="expression" dxfId="24" priority="7">
      <formula>ISERROR(F13)</formula>
    </cfRule>
  </conditionalFormatting>
  <conditionalFormatting sqref="E13:F13">
    <cfRule type="duplicateValues" dxfId="23" priority="8"/>
  </conditionalFormatting>
  <conditionalFormatting sqref="L13">
    <cfRule type="expression" dxfId="22" priority="6">
      <formula>ISERROR(L13)</formula>
    </cfRule>
  </conditionalFormatting>
  <conditionalFormatting sqref="Q13">
    <cfRule type="expression" dxfId="21" priority="5">
      <formula>ISERROR(Q13)</formula>
    </cfRule>
  </conditionalFormatting>
  <conditionalFormatting sqref="F14:F25 H14:K25 M14:P25">
    <cfRule type="expression" dxfId="20" priority="3">
      <formula>ISERROR(F14)</formula>
    </cfRule>
  </conditionalFormatting>
  <conditionalFormatting sqref="E14:F25">
    <cfRule type="duplicateValues" dxfId="19" priority="4"/>
  </conditionalFormatting>
  <conditionalFormatting sqref="L14:L25">
    <cfRule type="expression" dxfId="18" priority="2">
      <formula>ISERROR(L14)</formula>
    </cfRule>
  </conditionalFormatting>
  <conditionalFormatting sqref="Q14:Q25">
    <cfRule type="expression" dxfId="17" priority="1">
      <formula>ISERROR(Q14)</formula>
    </cfRule>
  </conditionalFormatting>
  <conditionalFormatting sqref="E26:F40 Y12:Y40 E12">
    <cfRule type="duplicateValues" dxfId="16" priority="46"/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40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cellIs" priority="1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E11:E12 E26:E40</xm:sqref>
        </x14:dataValidation>
        <x14:dataValidation type="list" allowBlank="1" showInputMessage="1" showErrorMessage="1">
          <x14:formula1>
            <xm:f>'BDEW-Standard'!$B$3:$B$94</xm:f>
          </x14:formula1>
          <xm:sqref>E12</xm:sqref>
        </x14:dataValidation>
        <x14:dataValidation type="list" errorStyle="information" allowBlank="1" showInputMessage="1" showErrorMessage="1" errorTitle="Achtung!" error="keine BDEW Nomenklatur">
          <x14:formula1>
            <xm:f>'[1]BDEW-Standard'!#REF!</xm:f>
          </x14:formula1>
          <xm:sqref>E13:E25</xm:sqref>
        </x14:dataValidation>
        <x14:dataValidation type="list" allowBlank="1" showInputMessage="1" showErrorMessage="1">
          <x14:formula1>
            <xm:f>'[1]BDEW-Standard'!#REF!</xm:f>
          </x14:formula1>
          <xm:sqref>E13:E25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9"/>
    <col min="4" max="4" width="19.88671875" style="129" customWidth="1"/>
    <col min="5" max="9" width="16" style="129" customWidth="1"/>
    <col min="10" max="10" width="15.109375" style="129" customWidth="1"/>
    <col min="11" max="12" width="16" style="129" customWidth="1"/>
    <col min="13" max="13" width="15.33203125" style="129" customWidth="1"/>
    <col min="14" max="16384" width="11.441406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6.4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H31" sqref="H31"/>
    </sheetView>
  </sheetViews>
  <sheetFormatPr baseColWidth="10" defaultColWidth="0" defaultRowHeight="13.2" zeroHeight="1"/>
  <cols>
    <col min="1" max="1" width="2.88671875" style="76" customWidth="1"/>
    <col min="2" max="2" width="15.109375" style="76" customWidth="1"/>
    <col min="3" max="3" width="14.6640625" style="76" customWidth="1"/>
    <col min="4" max="4" width="5.88671875" style="76" hidden="1" customWidth="1"/>
    <col min="5" max="5" width="5.109375" style="76" customWidth="1"/>
    <col min="6" max="12" width="12.6640625" style="76" customWidth="1"/>
    <col min="13" max="30" width="5.664062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EnergieSüdwest Netz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441</v>
      </c>
      <c r="C5" s="65" t="str">
        <f>Netzbetreiber!D28</f>
        <v>Landau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439</v>
      </c>
      <c r="C6" s="64" t="str">
        <f>Netzbetreiber!$D$11</f>
        <v>9870019100005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2" t="s">
        <v>583</v>
      </c>
      <c r="C10" s="363"/>
      <c r="D10" s="95">
        <v>2</v>
      </c>
      <c r="E10" s="96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1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396</v>
      </c>
      <c r="C12" s="111"/>
      <c r="D12" s="112">
        <v>4</v>
      </c>
      <c r="E12" s="314">
        <f>MIN(SUMPRODUCT($M$11:$AD$11,M12:AD12),1)</f>
        <v>1</v>
      </c>
      <c r="F12" s="311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397</v>
      </c>
      <c r="C13" s="118"/>
      <c r="D13" s="112">
        <v>5</v>
      </c>
      <c r="E13" s="315">
        <f t="shared" ref="E13:E35" si="0">MIN(SUMPRODUCT($M$11:$AD$11,M13:AD13),1)</f>
        <v>0</v>
      </c>
      <c r="F13" s="312" t="s">
        <v>399</v>
      </c>
      <c r="G13" s="81" t="s">
        <v>399</v>
      </c>
      <c r="H13" s="81" t="s">
        <v>399</v>
      </c>
      <c r="I13" s="81" t="s">
        <v>399</v>
      </c>
      <c r="J13" s="81" t="s">
        <v>399</v>
      </c>
      <c r="K13" s="81" t="s">
        <v>399</v>
      </c>
      <c r="L13" s="82" t="s">
        <v>399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398</v>
      </c>
      <c r="C14" s="118"/>
      <c r="D14" s="112">
        <v>6</v>
      </c>
      <c r="E14" s="315">
        <f t="shared" si="0"/>
        <v>0</v>
      </c>
      <c r="F14" s="312" t="s">
        <v>399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400</v>
      </c>
      <c r="C15" s="118"/>
      <c r="D15" s="112">
        <v>7</v>
      </c>
      <c r="E15" s="315">
        <f t="shared" si="0"/>
        <v>0</v>
      </c>
      <c r="F15" s="312" t="s">
        <v>399</v>
      </c>
      <c r="G15" s="81" t="s">
        <v>399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412</v>
      </c>
      <c r="C16" s="118"/>
      <c r="D16" s="112">
        <v>8</v>
      </c>
      <c r="E16" s="315">
        <f t="shared" si="0"/>
        <v>1</v>
      </c>
      <c r="F16" s="312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413</v>
      </c>
      <c r="C17" s="118"/>
      <c r="D17" s="112">
        <v>9</v>
      </c>
      <c r="E17" s="315">
        <f t="shared" si="0"/>
        <v>1</v>
      </c>
      <c r="F17" s="312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414</v>
      </c>
      <c r="C18" s="118"/>
      <c r="D18" s="112">
        <v>10</v>
      </c>
      <c r="E18" s="315">
        <f t="shared" si="0"/>
        <v>1</v>
      </c>
      <c r="F18" s="312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339" t="s">
        <v>651</v>
      </c>
      <c r="C19" s="340"/>
      <c r="D19" s="112"/>
      <c r="E19" s="315">
        <v>1</v>
      </c>
      <c r="F19" s="312" t="s">
        <v>399</v>
      </c>
      <c r="G19" s="81" t="s">
        <v>399</v>
      </c>
      <c r="H19" s="81" t="s">
        <v>399</v>
      </c>
      <c r="I19" s="81" t="s">
        <v>399</v>
      </c>
      <c r="J19" s="81" t="s">
        <v>399</v>
      </c>
      <c r="K19" s="81" t="s">
        <v>399</v>
      </c>
      <c r="L19" s="82" t="s">
        <v>399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4">
      <c r="B20" s="122" t="s">
        <v>401</v>
      </c>
      <c r="C20" s="118"/>
      <c r="D20" s="112">
        <v>11</v>
      </c>
      <c r="E20" s="315">
        <f t="shared" si="0"/>
        <v>1</v>
      </c>
      <c r="F20" s="312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649</v>
      </c>
      <c r="C21" s="118"/>
      <c r="D21" s="112">
        <v>12</v>
      </c>
      <c r="E21" s="315">
        <f t="shared" si="0"/>
        <v>1</v>
      </c>
      <c r="F21" s="312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415</v>
      </c>
      <c r="C22" s="118"/>
      <c r="D22" s="112">
        <v>13</v>
      </c>
      <c r="E22" s="315">
        <f t="shared" si="0"/>
        <v>1</v>
      </c>
      <c r="F22" s="312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22" t="s">
        <v>416</v>
      </c>
      <c r="C23" s="118"/>
      <c r="D23" s="112">
        <v>14</v>
      </c>
      <c r="E23" s="315">
        <f t="shared" si="0"/>
        <v>1</v>
      </c>
      <c r="F23" s="312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4">
      <c r="B24" s="117" t="s">
        <v>417</v>
      </c>
      <c r="C24" s="118"/>
      <c r="D24" s="112">
        <v>15</v>
      </c>
      <c r="E24" s="315">
        <f t="shared" si="0"/>
        <v>1</v>
      </c>
      <c r="F24" s="312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4">
      <c r="B25" s="117" t="s">
        <v>402</v>
      </c>
      <c r="C25" s="118"/>
      <c r="D25" s="112">
        <v>16</v>
      </c>
      <c r="E25" s="315">
        <f t="shared" si="0"/>
        <v>0</v>
      </c>
      <c r="F25" s="312" t="s">
        <v>399</v>
      </c>
      <c r="G25" s="81" t="s">
        <v>399</v>
      </c>
      <c r="H25" s="81" t="s">
        <v>399</v>
      </c>
      <c r="I25" s="81" t="s">
        <v>399</v>
      </c>
      <c r="J25" s="81" t="s">
        <v>399</v>
      </c>
      <c r="K25" s="81" t="s">
        <v>399</v>
      </c>
      <c r="L25" s="82" t="s">
        <v>399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4">
      <c r="B26" s="117" t="s">
        <v>403</v>
      </c>
      <c r="C26" s="118"/>
      <c r="D26" s="112">
        <v>17</v>
      </c>
      <c r="E26" s="315">
        <f t="shared" si="0"/>
        <v>0</v>
      </c>
      <c r="F26" s="312" t="s">
        <v>399</v>
      </c>
      <c r="G26" s="81" t="s">
        <v>399</v>
      </c>
      <c r="H26" s="81" t="s">
        <v>399</v>
      </c>
      <c r="I26" s="81" t="s">
        <v>399</v>
      </c>
      <c r="J26" s="81" t="s">
        <v>399</v>
      </c>
      <c r="K26" s="81" t="s">
        <v>399</v>
      </c>
      <c r="L26" s="82" t="s">
        <v>399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4">
      <c r="B27" s="339" t="s">
        <v>650</v>
      </c>
      <c r="C27" s="340"/>
      <c r="D27" s="112"/>
      <c r="E27" s="315">
        <v>1</v>
      </c>
      <c r="F27" s="312" t="s">
        <v>399</v>
      </c>
      <c r="G27" s="81" t="s">
        <v>399</v>
      </c>
      <c r="H27" s="81" t="s">
        <v>399</v>
      </c>
      <c r="I27" s="81" t="s">
        <v>399</v>
      </c>
      <c r="J27" s="81" t="s">
        <v>399</v>
      </c>
      <c r="K27" s="81" t="s">
        <v>399</v>
      </c>
      <c r="L27" s="82" t="s">
        <v>399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4.4">
      <c r="B28" s="122" t="s">
        <v>404</v>
      </c>
      <c r="C28" s="118"/>
      <c r="D28" s="112">
        <v>18</v>
      </c>
      <c r="E28" s="315">
        <f t="shared" si="0"/>
        <v>1</v>
      </c>
      <c r="F28" s="312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6" customFormat="1" ht="14.4">
      <c r="B29" s="339" t="s">
        <v>405</v>
      </c>
      <c r="C29" s="340"/>
      <c r="D29" s="341">
        <v>19</v>
      </c>
      <c r="E29" s="342">
        <v>1</v>
      </c>
      <c r="F29" s="312" t="s">
        <v>399</v>
      </c>
      <c r="G29" s="81" t="s">
        <v>399</v>
      </c>
      <c r="H29" s="81" t="s">
        <v>399</v>
      </c>
      <c r="I29" s="81" t="s">
        <v>399</v>
      </c>
      <c r="J29" s="81" t="s">
        <v>399</v>
      </c>
      <c r="K29" s="81" t="s">
        <v>399</v>
      </c>
      <c r="L29" s="82" t="s">
        <v>399</v>
      </c>
      <c r="M29" s="113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70"/>
    </row>
    <row r="30" spans="2:30" ht="14.4">
      <c r="B30" s="117" t="s">
        <v>406</v>
      </c>
      <c r="C30" s="118"/>
      <c r="D30" s="112">
        <v>20</v>
      </c>
      <c r="E30" s="315">
        <f t="shared" si="0"/>
        <v>1</v>
      </c>
      <c r="F30" s="312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4">
      <c r="B31" s="117" t="s">
        <v>407</v>
      </c>
      <c r="C31" s="118"/>
      <c r="D31" s="112">
        <v>21</v>
      </c>
      <c r="E31" s="315">
        <f t="shared" si="0"/>
        <v>0</v>
      </c>
      <c r="F31" s="312" t="s">
        <v>399</v>
      </c>
      <c r="G31" s="81" t="s">
        <v>399</v>
      </c>
      <c r="H31" s="81" t="s">
        <v>399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4">
      <c r="B32" s="117" t="s">
        <v>408</v>
      </c>
      <c r="C32" s="118"/>
      <c r="D32" s="112">
        <v>22</v>
      </c>
      <c r="E32" s="315">
        <f t="shared" si="0"/>
        <v>0</v>
      </c>
      <c r="F32" s="312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4.4">
      <c r="B33" s="122" t="s">
        <v>409</v>
      </c>
      <c r="C33" s="118"/>
      <c r="D33" s="112">
        <v>23</v>
      </c>
      <c r="E33" s="315">
        <f t="shared" si="0"/>
        <v>1</v>
      </c>
      <c r="F33" s="312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4">
      <c r="B34" s="122" t="s">
        <v>410</v>
      </c>
      <c r="C34" s="118"/>
      <c r="D34" s="112">
        <v>24</v>
      </c>
      <c r="E34" s="315">
        <f t="shared" si="0"/>
        <v>1</v>
      </c>
      <c r="F34" s="312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>
      <c r="B35" s="123" t="s">
        <v>411</v>
      </c>
      <c r="C35" s="124"/>
      <c r="D35" s="125">
        <v>25</v>
      </c>
      <c r="E35" s="316">
        <f t="shared" si="0"/>
        <v>0</v>
      </c>
      <c r="F35" s="313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2" priority="16">
      <formula>IF(E$11="NB",1,0)</formula>
    </cfRule>
  </conditionalFormatting>
  <conditionalFormatting sqref="F16:L18 F20:L24 F28:L28 F30:L35">
    <cfRule type="expression" dxfId="11" priority="13">
      <formula>IF($E16=1,1,0)</formula>
    </cfRule>
  </conditionalFormatting>
  <conditionalFormatting sqref="M12:AD35">
    <cfRule type="expression" dxfId="10" priority="10">
      <formula>IF(M$11=1,1)</formula>
    </cfRule>
  </conditionalFormatting>
  <conditionalFormatting sqref="M9:AD10">
    <cfRule type="expression" dxfId="9" priority="8">
      <formula>IF(M$11=1,1)</formula>
    </cfRule>
  </conditionalFormatting>
  <conditionalFormatting sqref="F12:L12">
    <cfRule type="expression" dxfId="8" priority="7">
      <formula>IF($E12=1,1,0)</formula>
    </cfRule>
  </conditionalFormatting>
  <conditionalFormatting sqref="F13:L15">
    <cfRule type="expression" dxfId="7" priority="6">
      <formula>IF($E13=1,1,0)</formula>
    </cfRule>
  </conditionalFormatting>
  <conditionalFormatting sqref="F19:L19">
    <cfRule type="expression" dxfId="6" priority="5">
      <formula>IF($E19=1,1,0)</formula>
    </cfRule>
  </conditionalFormatting>
  <conditionalFormatting sqref="F25:L25">
    <cfRule type="expression" dxfId="5" priority="4">
      <formula>IF($E25=1,1,0)</formula>
    </cfRule>
  </conditionalFormatting>
  <conditionalFormatting sqref="F26:L26">
    <cfRule type="expression" dxfId="4" priority="3">
      <formula>IF($E26=1,1,0)</formula>
    </cfRule>
  </conditionalFormatting>
  <conditionalFormatting sqref="F27:L27">
    <cfRule type="expression" dxfId="3" priority="2">
      <formula>IF($E27=1,1,0)</formula>
    </cfRule>
  </conditionalFormatting>
  <conditionalFormatting sqref="F29:L29">
    <cfRule type="expression" dxfId="2" priority="1">
      <formula>IF($E29=1,1,0)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8" customWidth="1"/>
    <col min="2" max="2" width="7" style="259" customWidth="1"/>
    <col min="3" max="3" width="27.6640625" style="238" customWidth="1"/>
    <col min="4" max="10" width="8.88671875" style="238" customWidth="1"/>
    <col min="11" max="14" width="11.44140625" style="238" customWidth="1"/>
    <col min="15" max="15" width="12.3320312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4" t="s">
        <v>249</v>
      </c>
      <c r="B3" s="239" t="s">
        <v>86</v>
      </c>
      <c r="C3" s="240"/>
      <c r="D3" s="366" t="s">
        <v>454</v>
      </c>
      <c r="E3" s="367"/>
      <c r="F3" s="367"/>
      <c r="G3" s="367"/>
      <c r="H3" s="367"/>
      <c r="I3" s="367"/>
      <c r="J3" s="368"/>
      <c r="K3" s="241"/>
      <c r="L3" s="241"/>
      <c r="M3" s="241"/>
      <c r="N3" s="241"/>
      <c r="O3" s="242"/>
      <c r="P3" s="241"/>
    </row>
    <row r="4" spans="1:16" ht="20.100000000000001" customHeight="1">
      <c r="A4" s="365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6.4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b9f00-f4e5-4488-840e-6084e0f110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Schaffranek, Ute</cp:lastModifiedBy>
  <cp:lastPrinted>2015-03-20T22:59:10Z</cp:lastPrinted>
  <dcterms:created xsi:type="dcterms:W3CDTF">2015-01-15T05:25:41Z</dcterms:created>
  <dcterms:modified xsi:type="dcterms:W3CDTF">2022-06-27T10:18:25Z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